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3270" activeTab="1"/>
  </bookViews>
  <sheets>
    <sheet name="frekv char" sheetId="1" r:id="rId1"/>
    <sheet name="voltmeter" sheetId="2" r:id="rId2"/>
    <sheet name="cas zakladna A" sheetId="3" r:id="rId3"/>
    <sheet name="cas zakladna B" sheetId="4" r:id="rId4"/>
  </sheets>
  <definedNames/>
  <calcPr fullCalcOnLoad="1"/>
</workbook>
</file>

<file path=xl/sharedStrings.xml><?xml version="1.0" encoding="utf-8"?>
<sst xmlns="http://schemas.openxmlformats.org/spreadsheetml/2006/main" count="262" uniqueCount="139">
  <si>
    <t>f [MHz]</t>
  </si>
  <si>
    <t>kanál 1</t>
  </si>
  <si>
    <t>kanál 2</t>
  </si>
  <si>
    <t>mV/dielik</t>
  </si>
  <si>
    <t>aprox</t>
  </si>
  <si>
    <t>rovnica</t>
  </si>
  <si>
    <t>Hz</t>
  </si>
  <si>
    <t>kHz</t>
  </si>
  <si>
    <t>MHz</t>
  </si>
  <si>
    <t>zaciatok</t>
  </si>
  <si>
    <t>koniec</t>
  </si>
  <si>
    <t>nameraneSMG</t>
  </si>
  <si>
    <t>uA</t>
  </si>
  <si>
    <t>U</t>
  </si>
  <si>
    <t>set f SMG</t>
  </si>
  <si>
    <t>udaje do cetif</t>
  </si>
  <si>
    <t>u rozl</t>
  </si>
  <si>
    <t>u rozlis</t>
  </si>
  <si>
    <t>u citac</t>
  </si>
  <si>
    <t>U citac zanedbatelne</t>
  </si>
  <si>
    <t>U (Hz)</t>
  </si>
  <si>
    <t>U (kHz)</t>
  </si>
  <si>
    <t>U (MHz)</t>
  </si>
  <si>
    <t>fe (Hz)</t>
  </si>
  <si>
    <t>fn (Hz)</t>
  </si>
  <si>
    <t>fe</t>
  </si>
  <si>
    <t>fn (kHz)</t>
  </si>
  <si>
    <t>fe (MHz)</t>
  </si>
  <si>
    <t>fe (kHz)</t>
  </si>
  <si>
    <t>fn (MHz)</t>
  </si>
  <si>
    <t>mV</t>
  </si>
  <si>
    <t>korekcia etalonovej hodnoty - zanedbatelne vzhladom na u rozlis osciloskopu</t>
  </si>
  <si>
    <t>SMG:</t>
  </si>
  <si>
    <t>RMS</t>
  </si>
  <si>
    <t>[mV]</t>
  </si>
  <si>
    <t>mean</t>
  </si>
  <si>
    <t>f (MHz)</t>
  </si>
  <si>
    <t>set:</t>
  </si>
  <si>
    <t>RF=50</t>
  </si>
  <si>
    <t>Ohm</t>
  </si>
  <si>
    <t>AF=1</t>
  </si>
  <si>
    <t>Mohm</t>
  </si>
  <si>
    <t xml:space="preserve"> -3dB</t>
  </si>
  <si>
    <t>aver</t>
  </si>
  <si>
    <t>MEAN</t>
  </si>
  <si>
    <t>namerane hodnoty:</t>
  </si>
  <si>
    <t>korekcia urovne generatora</t>
  </si>
  <si>
    <t>Z51</t>
  </si>
  <si>
    <t>true RMS</t>
  </si>
  <si>
    <t>True RMS</t>
  </si>
  <si>
    <t>set level</t>
  </si>
  <si>
    <t>korekcia generatora mV</t>
  </si>
  <si>
    <t>korekcia generatora dB</t>
  </si>
  <si>
    <t>f MHz</t>
  </si>
  <si>
    <t>U %</t>
  </si>
  <si>
    <t>priemery mV</t>
  </si>
  <si>
    <t>vysledky mV</t>
  </si>
  <si>
    <t>kanal 1</t>
  </si>
  <si>
    <t>kanal 2</t>
  </si>
  <si>
    <t>nastavena uroven generatora</t>
  </si>
  <si>
    <t>nastavena uroven generatora mV</t>
  </si>
  <si>
    <t>mV/diel</t>
  </si>
  <si>
    <t>uroven mV</t>
  </si>
  <si>
    <t>ci</t>
  </si>
  <si>
    <t>Cf</t>
  </si>
  <si>
    <t>neistoty B</t>
  </si>
  <si>
    <t>PSV osc</t>
  </si>
  <si>
    <t>PSV PS=</t>
  </si>
  <si>
    <t>uZ51 %</t>
  </si>
  <si>
    <t>uPSV %</t>
  </si>
  <si>
    <t>u lin %</t>
  </si>
  <si>
    <t>ui</t>
  </si>
  <si>
    <t>u harm %</t>
  </si>
  <si>
    <t>harm dB=</t>
  </si>
  <si>
    <t>uB %</t>
  </si>
  <si>
    <t>uA %</t>
  </si>
  <si>
    <t>uA mV</t>
  </si>
  <si>
    <t>(ci.ui)^2</t>
  </si>
  <si>
    <t>u rozl g50 %</t>
  </si>
  <si>
    <t>u rozl g1M %</t>
  </si>
  <si>
    <t>digit g50=</t>
  </si>
  <si>
    <t>digit g1M=</t>
  </si>
  <si>
    <t>dB</t>
  </si>
  <si>
    <t>u7081</t>
  </si>
  <si>
    <t>%read</t>
  </si>
  <si>
    <t>%FS</t>
  </si>
  <si>
    <t>u mV</t>
  </si>
  <si>
    <t>FS V</t>
  </si>
  <si>
    <t>u%</t>
  </si>
  <si>
    <t>úroveň (mV)</t>
  </si>
  <si>
    <t>`</t>
  </si>
  <si>
    <r>
      <t>R = 1 M</t>
    </r>
    <r>
      <rPr>
        <sz val="11"/>
        <color indexed="8"/>
        <rFont val="Calibri"/>
        <family val="2"/>
      </rPr>
      <t>Ω</t>
    </r>
  </si>
  <si>
    <t>jednotky</t>
  </si>
  <si>
    <t>vstupná impedancia</t>
  </si>
  <si>
    <t>ad bit =</t>
  </si>
  <si>
    <t>u sens</t>
  </si>
  <si>
    <t>meranie pomocou datron 4808</t>
  </si>
  <si>
    <t>1k</t>
  </si>
  <si>
    <t>10k</t>
  </si>
  <si>
    <t>100k</t>
  </si>
  <si>
    <t>10V</t>
  </si>
  <si>
    <t>kan A</t>
  </si>
  <si>
    <t>50V</t>
  </si>
  <si>
    <t>20V/dielik</t>
  </si>
  <si>
    <t>5V/dielik</t>
  </si>
  <si>
    <t>kan B</t>
  </si>
  <si>
    <t>DC merania</t>
  </si>
  <si>
    <t>Volty</t>
  </si>
  <si>
    <t xml:space="preserve">AC </t>
  </si>
  <si>
    <t>f=1kHz</t>
  </si>
  <si>
    <t>nastavena casova zakladna</t>
  </si>
  <si>
    <t>nastavena frekvencia</t>
  </si>
  <si>
    <t>T=</t>
  </si>
  <si>
    <t>H=</t>
  </si>
  <si>
    <t>DC/AC coupling</t>
  </si>
  <si>
    <t>199C (ms)</t>
  </si>
  <si>
    <t>199C  (ns)</t>
  </si>
  <si>
    <r>
      <t>199C (</t>
    </r>
    <r>
      <rPr>
        <sz val="11"/>
        <color indexed="8"/>
        <rFont val="Calibri"/>
        <family val="2"/>
      </rPr>
      <t>µs)</t>
    </r>
  </si>
  <si>
    <t>199C (ns)</t>
  </si>
  <si>
    <t>500k</t>
  </si>
  <si>
    <t>1M</t>
  </si>
  <si>
    <t>5M</t>
  </si>
  <si>
    <t>10M</t>
  </si>
  <si>
    <t>50M</t>
  </si>
  <si>
    <t>100M</t>
  </si>
  <si>
    <t>200M</t>
  </si>
  <si>
    <t>u emrp guide</t>
  </si>
  <si>
    <t>namerane - nespracovane</t>
  </si>
  <si>
    <t>R = 1 MΩ</t>
  </si>
  <si>
    <t xml:space="preserve">kanál A </t>
  </si>
  <si>
    <t>kanál B</t>
  </si>
  <si>
    <t>E (V)</t>
  </si>
  <si>
    <t>199C (V)</t>
  </si>
  <si>
    <t>uB rozl</t>
  </si>
  <si>
    <t>uBtranser</t>
  </si>
  <si>
    <t>cmc ani Ucal kalibratora netreba lebo su velmi male</t>
  </si>
  <si>
    <t xml:space="preserve">meraci vstup, nie kanal A ani B </t>
  </si>
  <si>
    <t>U (V)</t>
  </si>
  <si>
    <t>rozsah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</si>
</sst>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0.00000"/>
    <numFmt numFmtId="177" formatCode="0.0000"/>
    <numFmt numFmtId="178" formatCode="0.000"/>
    <numFmt numFmtId="179" formatCode="0.000000"/>
    <numFmt numFmtId="180" formatCode="0.0"/>
    <numFmt numFmtId="181" formatCode="[$-41B]d\.\ mmmm\ yyyy"/>
    <numFmt numFmtId="182" formatCode="0.00000000"/>
    <numFmt numFmtId="183" formatCode="0.0000000"/>
    <numFmt numFmtId="184" formatCode="0.000000000"/>
    <numFmt numFmtId="185" formatCode="0.0000000000"/>
    <numFmt numFmtId="186" formatCode="0.00000000000"/>
    <numFmt numFmtId="187" formatCode="0.000000000000"/>
    <numFmt numFmtId="188" formatCode="0.0000E+00"/>
    <numFmt numFmtId="189" formatCode="0.000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7030A0"/>
      <name val="Calibri"/>
      <family val="2"/>
    </font>
    <font>
      <sz val="11"/>
      <color rgb="FF0070C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 hidden="1"/>
    </xf>
    <xf numFmtId="0" fontId="0" fillId="7" borderId="0" xfId="0" applyFont="1" applyFill="1" applyAlignment="1" applyProtection="1">
      <alignment horizontal="center" vertical="center"/>
      <protection hidden="1"/>
    </xf>
    <xf numFmtId="0" fontId="36" fillId="7" borderId="0" xfId="0" applyFont="1" applyFill="1" applyAlignment="1" applyProtection="1">
      <alignment horizontal="right" vertical="center" wrapText="1"/>
      <protection hidden="1"/>
    </xf>
    <xf numFmtId="0" fontId="36" fillId="7" borderId="0" xfId="0" applyFont="1" applyFill="1" applyAlignment="1" applyProtection="1">
      <alignment horizontal="right" vertical="center"/>
      <protection hidden="1"/>
    </xf>
    <xf numFmtId="0" fontId="0" fillId="7" borderId="0" xfId="0" applyFont="1" applyFill="1" applyAlignment="1" applyProtection="1">
      <alignment horizontal="right" vertical="center"/>
      <protection hidden="1"/>
    </xf>
    <xf numFmtId="178" fontId="23" fillId="0" borderId="0" xfId="0" applyNumberFormat="1" applyFont="1" applyAlignment="1" applyProtection="1">
      <alignment horizontal="right" vertical="center"/>
      <protection hidden="1"/>
    </xf>
    <xf numFmtId="2" fontId="0" fillId="0" borderId="0" xfId="0" applyNumberFormat="1" applyFont="1" applyAlignment="1" applyProtection="1">
      <alignment horizontal="right" vertical="center"/>
      <protection hidden="1"/>
    </xf>
    <xf numFmtId="180" fontId="0" fillId="0" borderId="0" xfId="0" applyNumberFormat="1" applyFont="1" applyAlignment="1" applyProtection="1">
      <alignment horizontal="right" vertical="center"/>
      <protection hidden="1"/>
    </xf>
    <xf numFmtId="177" fontId="0" fillId="0" borderId="0" xfId="0" applyNumberFormat="1" applyFont="1" applyAlignment="1" applyProtection="1">
      <alignment horizontal="right" vertical="center"/>
      <protection hidden="1"/>
    </xf>
    <xf numFmtId="178" fontId="0" fillId="0" borderId="0" xfId="0" applyNumberFormat="1" applyFont="1" applyAlignment="1" applyProtection="1">
      <alignment horizontal="right" vertical="center"/>
      <protection hidden="1"/>
    </xf>
    <xf numFmtId="176" fontId="0" fillId="7" borderId="0" xfId="0" applyNumberFormat="1" applyFont="1" applyFill="1" applyAlignment="1" applyProtection="1">
      <alignment horizontal="right" vertical="center"/>
      <protection hidden="1"/>
    </xf>
    <xf numFmtId="0" fontId="36" fillId="7" borderId="0" xfId="0" applyFont="1" applyFill="1" applyBorder="1" applyAlignment="1" applyProtection="1">
      <alignment horizontal="right" vertical="center" wrapText="1"/>
      <protection hidden="1"/>
    </xf>
    <xf numFmtId="178" fontId="44" fillId="7" borderId="0" xfId="0" applyNumberFormat="1" applyFont="1" applyFill="1" applyBorder="1" applyAlignment="1" applyProtection="1">
      <alignment horizontal="right" vertical="center"/>
      <protection hidden="1"/>
    </xf>
    <xf numFmtId="178" fontId="45" fillId="7" borderId="0" xfId="0" applyNumberFormat="1" applyFont="1" applyFill="1" applyBorder="1" applyAlignment="1" applyProtection="1">
      <alignment horizontal="right" vertical="center"/>
      <protection hidden="1"/>
    </xf>
    <xf numFmtId="2" fontId="45" fillId="7" borderId="0" xfId="0" applyNumberFormat="1" applyFont="1" applyFill="1" applyBorder="1" applyAlignment="1" applyProtection="1">
      <alignment horizontal="right" vertical="center"/>
      <protection hidden="1"/>
    </xf>
    <xf numFmtId="180" fontId="45" fillId="7" borderId="0" xfId="0" applyNumberFormat="1" applyFont="1" applyFill="1" applyBorder="1" applyAlignment="1" applyProtection="1">
      <alignment horizontal="right" vertical="center"/>
      <protection hidden="1"/>
    </xf>
    <xf numFmtId="177" fontId="45" fillId="7" borderId="0" xfId="0" applyNumberFormat="1" applyFont="1" applyFill="1" applyBorder="1" applyAlignment="1" applyProtection="1">
      <alignment horizontal="right" vertical="center"/>
      <protection hidden="1"/>
    </xf>
    <xf numFmtId="178" fontId="23" fillId="7" borderId="0" xfId="0" applyNumberFormat="1" applyFont="1" applyFill="1" applyBorder="1" applyAlignment="1" applyProtection="1">
      <alignment horizontal="right" vertical="center"/>
      <protection hidden="1"/>
    </xf>
    <xf numFmtId="11" fontId="23" fillId="7" borderId="0" xfId="0" applyNumberFormat="1" applyFont="1" applyFill="1" applyBorder="1" applyAlignment="1" applyProtection="1">
      <alignment horizontal="right" vertical="center"/>
      <protection hidden="1"/>
    </xf>
    <xf numFmtId="176" fontId="0" fillId="0" borderId="0" xfId="0" applyNumberFormat="1" applyFont="1" applyFill="1" applyAlignment="1" applyProtection="1">
      <alignment horizontal="right" vertical="center"/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36" fillId="7" borderId="0" xfId="0" applyFont="1" applyFill="1" applyAlignment="1" applyProtection="1">
      <alignment horizontal="center" vertical="center"/>
      <protection hidden="1"/>
    </xf>
    <xf numFmtId="0" fontId="36" fillId="7" borderId="0" xfId="0" applyFont="1" applyFill="1" applyAlignment="1" applyProtection="1">
      <alignment horizontal="center" vertical="center" wrapText="1"/>
      <protection hidden="1"/>
    </xf>
    <xf numFmtId="0" fontId="36" fillId="33" borderId="10" xfId="0" applyFont="1" applyFill="1" applyBorder="1" applyAlignment="1" applyProtection="1">
      <alignment horizontal="center" vertical="center" wrapText="1"/>
      <protection hidden="1"/>
    </xf>
    <xf numFmtId="0" fontId="36" fillId="33" borderId="11" xfId="0" applyFont="1" applyFill="1" applyBorder="1" applyAlignment="1" applyProtection="1">
      <alignment horizontal="center" vertical="center" wrapText="1"/>
      <protection hidden="1"/>
    </xf>
    <xf numFmtId="0" fontId="36" fillId="33" borderId="12" xfId="0" applyFont="1" applyFill="1" applyBorder="1" applyAlignment="1" applyProtection="1">
      <alignment horizontal="center" vertical="center" wrapText="1"/>
      <protection hidden="1"/>
    </xf>
    <xf numFmtId="0" fontId="36" fillId="33" borderId="13" xfId="0" applyFont="1" applyFill="1" applyBorder="1" applyAlignment="1" applyProtection="1">
      <alignment horizontal="center" vertical="center" wrapText="1"/>
      <protection hidden="1"/>
    </xf>
    <xf numFmtId="178" fontId="44" fillId="7" borderId="0" xfId="0" applyNumberFormat="1" applyFont="1" applyFill="1" applyAlignment="1" applyProtection="1">
      <alignment horizontal="right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77" fontId="0" fillId="0" borderId="15" xfId="0" applyNumberFormat="1" applyFont="1" applyBorder="1" applyAlignment="1" applyProtection="1">
      <alignment horizontal="center" vertical="center"/>
      <protection hidden="1"/>
    </xf>
    <xf numFmtId="177" fontId="0" fillId="0" borderId="16" xfId="0" applyNumberFormat="1" applyFont="1" applyBorder="1" applyAlignment="1" applyProtection="1">
      <alignment horizontal="center" vertical="center"/>
      <protection hidden="1"/>
    </xf>
    <xf numFmtId="178" fontId="45" fillId="7" borderId="0" xfId="0" applyNumberFormat="1" applyFont="1" applyFill="1" applyAlignment="1" applyProtection="1">
      <alignment horizontal="right" vertical="center"/>
      <protection hidden="1"/>
    </xf>
    <xf numFmtId="178" fontId="23" fillId="7" borderId="0" xfId="0" applyNumberFormat="1" applyFont="1" applyFill="1" applyAlignment="1" applyProtection="1">
      <alignment horizontal="right" vertical="center"/>
      <protection hidden="1"/>
    </xf>
    <xf numFmtId="178" fontId="0" fillId="7" borderId="0" xfId="0" applyNumberFormat="1" applyFont="1" applyFill="1" applyAlignment="1" applyProtection="1">
      <alignment horizontal="right" vertical="center"/>
      <protection hidden="1"/>
    </xf>
    <xf numFmtId="176" fontId="23" fillId="0" borderId="0" xfId="0" applyNumberFormat="1" applyFont="1" applyAlignment="1" applyProtection="1">
      <alignment horizontal="right" vertical="center"/>
      <protection hidden="1"/>
    </xf>
    <xf numFmtId="176" fontId="0" fillId="0" borderId="0" xfId="0" applyNumberFormat="1" applyFont="1" applyAlignment="1" applyProtection="1">
      <alignment horizontal="right" vertical="center"/>
      <protection hidden="1"/>
    </xf>
    <xf numFmtId="176" fontId="45" fillId="7" borderId="0" xfId="0" applyNumberFormat="1" applyFont="1" applyFill="1" applyAlignment="1" applyProtection="1">
      <alignment horizontal="right" vertical="center"/>
      <protection hidden="1"/>
    </xf>
    <xf numFmtId="177" fontId="23" fillId="7" borderId="0" xfId="0" applyNumberFormat="1" applyFont="1" applyFill="1" applyAlignment="1" applyProtection="1">
      <alignment horizontal="right" vertical="center"/>
      <protection hidden="1"/>
    </xf>
    <xf numFmtId="179" fontId="0" fillId="7" borderId="0" xfId="0" applyNumberFormat="1" applyFont="1" applyFill="1" applyAlignment="1" applyProtection="1">
      <alignment horizontal="right" vertical="center"/>
      <protection hidden="1"/>
    </xf>
    <xf numFmtId="177" fontId="45" fillId="7" borderId="0" xfId="0" applyNumberFormat="1" applyFont="1" applyFill="1" applyAlignment="1" applyProtection="1">
      <alignment horizontal="right" vertical="center"/>
      <protection hidden="1"/>
    </xf>
    <xf numFmtId="183" fontId="45" fillId="7" borderId="0" xfId="0" applyNumberFormat="1" applyFont="1" applyFill="1" applyAlignment="1" applyProtection="1">
      <alignment horizontal="right" vertical="center"/>
      <protection hidden="1"/>
    </xf>
    <xf numFmtId="178" fontId="0" fillId="0" borderId="15" xfId="0" applyNumberFormat="1" applyFont="1" applyBorder="1" applyAlignment="1" applyProtection="1">
      <alignment horizontal="center" vertical="center"/>
      <protection hidden="1"/>
    </xf>
    <xf numFmtId="178" fontId="0" fillId="0" borderId="16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183" fontId="0" fillId="0" borderId="0" xfId="0" applyNumberFormat="1" applyFont="1" applyAlignment="1" applyProtection="1">
      <alignment horizontal="right" vertical="center"/>
      <protection hidden="1"/>
    </xf>
    <xf numFmtId="183" fontId="23" fillId="7" borderId="0" xfId="0" applyNumberFormat="1" applyFont="1" applyFill="1" applyAlignment="1" applyProtection="1">
      <alignment horizontal="right" vertical="center"/>
      <protection hidden="1"/>
    </xf>
    <xf numFmtId="176" fontId="36" fillId="33" borderId="10" xfId="0" applyNumberFormat="1" applyFont="1" applyFill="1" applyBorder="1" applyAlignment="1" applyProtection="1">
      <alignment horizontal="center" vertical="center" wrapText="1"/>
      <protection hidden="1"/>
    </xf>
    <xf numFmtId="176" fontId="36" fillId="33" borderId="13" xfId="0" applyNumberFormat="1" applyFont="1" applyFill="1" applyBorder="1" applyAlignment="1" applyProtection="1">
      <alignment horizontal="center" vertical="center" wrapText="1"/>
      <protection hidden="1"/>
    </xf>
    <xf numFmtId="176" fontId="0" fillId="0" borderId="15" xfId="0" applyNumberFormat="1" applyFont="1" applyBorder="1" applyAlignment="1" applyProtection="1">
      <alignment horizontal="center" vertical="center"/>
      <protection hidden="1"/>
    </xf>
    <xf numFmtId="176" fontId="0" fillId="0" borderId="16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176" fontId="0" fillId="0" borderId="0" xfId="0" applyNumberFormat="1" applyAlignment="1" applyProtection="1">
      <alignment horizontal="right" vertical="center"/>
      <protection hidden="1"/>
    </xf>
    <xf numFmtId="178" fontId="0" fillId="0" borderId="0" xfId="0" applyNumberFormat="1" applyFill="1" applyAlignment="1" applyProtection="1">
      <alignment horizontal="right" vertical="center"/>
      <protection hidden="1"/>
    </xf>
    <xf numFmtId="177" fontId="0" fillId="0" borderId="0" xfId="0" applyNumberFormat="1" applyAlignment="1" applyProtection="1">
      <alignment horizontal="right" vertical="center"/>
      <protection hidden="1"/>
    </xf>
    <xf numFmtId="1" fontId="0" fillId="0" borderId="0" xfId="0" applyNumberFormat="1" applyAlignment="1" applyProtection="1">
      <alignment horizontal="right" vertical="center"/>
      <protection hidden="1"/>
    </xf>
    <xf numFmtId="0" fontId="0" fillId="33" borderId="15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176" fontId="0" fillId="0" borderId="0" xfId="0" applyNumberFormat="1" applyFill="1" applyAlignment="1" applyProtection="1">
      <alignment horizontal="right" vertical="center"/>
      <protection hidden="1"/>
    </xf>
    <xf numFmtId="176" fontId="0" fillId="0" borderId="15" xfId="0" applyNumberFormat="1" applyFill="1" applyBorder="1" applyAlignment="1" applyProtection="1">
      <alignment horizontal="right" vertical="center"/>
      <protection hidden="1"/>
    </xf>
    <xf numFmtId="176" fontId="0" fillId="0" borderId="15" xfId="0" applyNumberFormat="1" applyFont="1" applyBorder="1" applyAlignment="1" applyProtection="1">
      <alignment horizontal="right" vertical="center"/>
      <protection hidden="1"/>
    </xf>
    <xf numFmtId="176" fontId="0" fillId="0" borderId="15" xfId="0" applyNumberFormat="1" applyBorder="1" applyAlignment="1" applyProtection="1">
      <alignment horizontal="right" vertical="center"/>
      <protection hidden="1"/>
    </xf>
    <xf numFmtId="176" fontId="0" fillId="0" borderId="0" xfId="0" applyNumberFormat="1" applyFill="1" applyBorder="1" applyAlignment="1" applyProtection="1">
      <alignment horizontal="right" vertical="center"/>
      <protection hidden="1"/>
    </xf>
    <xf numFmtId="11" fontId="0" fillId="0" borderId="0" xfId="0" applyNumberFormat="1" applyAlignment="1" applyProtection="1">
      <alignment horizontal="right" vertical="center"/>
      <protection hidden="1"/>
    </xf>
    <xf numFmtId="177" fontId="0" fillId="0" borderId="0" xfId="0" applyNumberFormat="1" applyFill="1" applyAlignment="1" applyProtection="1">
      <alignment horizontal="right" vertical="center"/>
      <protection hidden="1"/>
    </xf>
    <xf numFmtId="180" fontId="0" fillId="0" borderId="0" xfId="0" applyNumberFormat="1" applyFill="1" applyAlignment="1" applyProtection="1">
      <alignment horizontal="right" vertical="center"/>
      <protection hidden="1"/>
    </xf>
    <xf numFmtId="180" fontId="0" fillId="0" borderId="0" xfId="0" applyNumberFormat="1" applyAlignment="1" applyProtection="1">
      <alignment horizontal="right" vertical="center"/>
      <protection hidden="1"/>
    </xf>
    <xf numFmtId="177" fontId="0" fillId="0" borderId="15" xfId="0" applyNumberFormat="1" applyFill="1" applyBorder="1" applyAlignment="1" applyProtection="1">
      <alignment horizontal="right" vertical="center"/>
      <protection hidden="1"/>
    </xf>
    <xf numFmtId="177" fontId="0" fillId="0" borderId="15" xfId="0" applyNumberFormat="1" applyFont="1" applyBorder="1" applyAlignment="1" applyProtection="1">
      <alignment horizontal="right" vertical="center"/>
      <protection hidden="1"/>
    </xf>
    <xf numFmtId="177" fontId="0" fillId="0" borderId="15" xfId="0" applyNumberFormat="1" applyBorder="1" applyAlignment="1" applyProtection="1">
      <alignment horizontal="right" vertical="center"/>
      <protection hidden="1"/>
    </xf>
    <xf numFmtId="178" fontId="0" fillId="0" borderId="0" xfId="0" applyNumberFormat="1" applyFill="1" applyBorder="1" applyAlignment="1" applyProtection="1">
      <alignment horizontal="right" vertical="center"/>
      <protection hidden="1"/>
    </xf>
    <xf numFmtId="178" fontId="0" fillId="0" borderId="15" xfId="0" applyNumberFormat="1" applyFill="1" applyBorder="1" applyAlignment="1" applyProtection="1">
      <alignment horizontal="right" vertical="center"/>
      <protection hidden="1"/>
    </xf>
    <xf numFmtId="178" fontId="0" fillId="0" borderId="15" xfId="0" applyNumberFormat="1" applyFont="1" applyBorder="1" applyAlignment="1" applyProtection="1">
      <alignment horizontal="right" vertical="center"/>
      <protection hidden="1"/>
    </xf>
    <xf numFmtId="178" fontId="0" fillId="0" borderId="15" xfId="0" applyNumberFormat="1" applyBorder="1" applyAlignment="1" applyProtection="1">
      <alignment horizontal="right" vertical="center"/>
      <protection hidden="1"/>
    </xf>
    <xf numFmtId="2" fontId="0" fillId="0" borderId="15" xfId="0" applyNumberFormat="1" applyFill="1" applyBorder="1" applyAlignment="1" applyProtection="1">
      <alignment horizontal="right" vertical="center"/>
      <protection hidden="1"/>
    </xf>
    <xf numFmtId="2" fontId="0" fillId="0" borderId="15" xfId="0" applyNumberFormat="1" applyFont="1" applyBorder="1" applyAlignment="1" applyProtection="1">
      <alignment horizontal="right" vertical="center"/>
      <protection hidden="1"/>
    </xf>
    <xf numFmtId="2" fontId="0" fillId="0" borderId="15" xfId="0" applyNumberFormat="1" applyBorder="1" applyAlignment="1" applyProtection="1">
      <alignment horizontal="right" vertical="center"/>
      <protection hidden="1"/>
    </xf>
    <xf numFmtId="1" fontId="0" fillId="0" borderId="0" xfId="0" applyNumberFormat="1" applyFill="1" applyAlignment="1" applyProtection="1">
      <alignment horizontal="right" vertical="center"/>
      <protection hidden="1"/>
    </xf>
    <xf numFmtId="1" fontId="0" fillId="0" borderId="0" xfId="0" applyNumberFormat="1" applyFont="1" applyAlignment="1" applyProtection="1">
      <alignment horizontal="right" vertical="center"/>
      <protection hidden="1"/>
    </xf>
    <xf numFmtId="2" fontId="0" fillId="0" borderId="0" xfId="0" applyNumberFormat="1" applyFill="1" applyBorder="1" applyAlignment="1" applyProtection="1">
      <alignment horizontal="right" vertical="center"/>
      <protection hidden="1"/>
    </xf>
    <xf numFmtId="180" fontId="0" fillId="0" borderId="15" xfId="0" applyNumberFormat="1" applyFill="1" applyBorder="1" applyAlignment="1" applyProtection="1">
      <alignment horizontal="right" vertical="center"/>
      <protection hidden="1"/>
    </xf>
    <xf numFmtId="180" fontId="0" fillId="0" borderId="15" xfId="0" applyNumberFormat="1" applyFont="1" applyBorder="1" applyAlignment="1" applyProtection="1">
      <alignment horizontal="right" vertical="center"/>
      <protection hidden="1"/>
    </xf>
    <xf numFmtId="180" fontId="0" fillId="0" borderId="15" xfId="0" applyNumberFormat="1" applyBorder="1" applyAlignment="1" applyProtection="1">
      <alignment horizontal="right" vertical="center"/>
      <protection hidden="1"/>
    </xf>
    <xf numFmtId="180" fontId="0" fillId="0" borderId="0" xfId="0" applyNumberFormat="1" applyFont="1" applyFill="1" applyAlignment="1" applyProtection="1">
      <alignment horizontal="right" vertical="center"/>
      <protection hidden="1"/>
    </xf>
    <xf numFmtId="178" fontId="0" fillId="0" borderId="0" xfId="0" applyNumberFormat="1" applyAlignment="1" applyProtection="1">
      <alignment horizontal="right" vertical="center"/>
      <protection hidden="1"/>
    </xf>
    <xf numFmtId="176" fontId="0" fillId="33" borderId="15" xfId="0" applyNumberFormat="1" applyFill="1" applyBorder="1" applyAlignment="1" applyProtection="1">
      <alignment horizontal="right" vertical="center"/>
      <protection hidden="1"/>
    </xf>
    <xf numFmtId="178" fontId="0" fillId="0" borderId="0" xfId="0" applyNumberFormat="1" applyFont="1" applyFill="1" applyAlignment="1" applyProtection="1">
      <alignment horizontal="right" vertical="center"/>
      <protection hidden="1"/>
    </xf>
    <xf numFmtId="11" fontId="0" fillId="0" borderId="0" xfId="0" applyNumberFormat="1" applyFill="1" applyAlignment="1" applyProtection="1">
      <alignment horizontal="right" vertical="center"/>
      <protection hidden="1"/>
    </xf>
    <xf numFmtId="2" fontId="0" fillId="0" borderId="0" xfId="0" applyNumberFormat="1" applyFont="1" applyFill="1" applyAlignment="1" applyProtection="1">
      <alignment horizontal="right" vertical="center"/>
      <protection hidden="1"/>
    </xf>
    <xf numFmtId="2" fontId="0" fillId="0" borderId="0" xfId="0" applyNumberFormat="1" applyFill="1" applyAlignment="1" applyProtection="1">
      <alignment horizontal="right" vertical="center"/>
      <protection hidden="1"/>
    </xf>
    <xf numFmtId="1" fontId="23" fillId="34" borderId="0" xfId="0" applyNumberFormat="1" applyFont="1" applyFill="1" applyAlignment="1" applyProtection="1">
      <alignment horizontal="left" vertical="center"/>
      <protection hidden="1"/>
    </xf>
    <xf numFmtId="0" fontId="23" fillId="34" borderId="0" xfId="0" applyFont="1" applyFill="1" applyAlignment="1" applyProtection="1">
      <alignment horizontal="right" vertical="center"/>
      <protection hidden="1"/>
    </xf>
    <xf numFmtId="1" fontId="0" fillId="35" borderId="0" xfId="0" applyNumberFormat="1" applyFill="1" applyAlignment="1" applyProtection="1">
      <alignment horizontal="right" vertical="center" wrapText="1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horizontal="right" vertical="center"/>
      <protection hidden="1"/>
    </xf>
    <xf numFmtId="1" fontId="0" fillId="0" borderId="0" xfId="0" applyNumberFormat="1" applyFont="1" applyFill="1" applyAlignment="1" applyProtection="1">
      <alignment horizontal="right" vertical="center"/>
      <protection hidden="1"/>
    </xf>
    <xf numFmtId="0" fontId="48" fillId="7" borderId="0" xfId="0" applyFont="1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left" vertical="center"/>
      <protection hidden="1"/>
    </xf>
    <xf numFmtId="0" fontId="0" fillId="34" borderId="0" xfId="0" applyFill="1" applyAlignment="1" applyProtection="1">
      <alignment horizontal="right" vertical="center"/>
      <protection hidden="1"/>
    </xf>
    <xf numFmtId="0" fontId="44" fillId="0" borderId="0" xfId="0" applyFont="1" applyAlignment="1" applyProtection="1">
      <alignment horizontal="right" vertical="center"/>
      <protection hidden="1"/>
    </xf>
    <xf numFmtId="0" fontId="0" fillId="33" borderId="0" xfId="0" applyFill="1" applyAlignment="1" applyProtection="1">
      <alignment horizontal="right" vertical="center"/>
      <protection hidden="1"/>
    </xf>
    <xf numFmtId="0" fontId="0" fillId="6" borderId="0" xfId="0" applyFill="1" applyAlignment="1" applyProtection="1">
      <alignment horizontal="right" vertical="center"/>
      <protection hidden="1"/>
    </xf>
    <xf numFmtId="0" fontId="0" fillId="7" borderId="0" xfId="0" applyFill="1" applyAlignment="1" applyProtection="1">
      <alignment horizontal="right" vertical="center"/>
      <protection hidden="1"/>
    </xf>
    <xf numFmtId="0" fontId="0" fillId="6" borderId="0" xfId="0" applyFont="1" applyFill="1" applyAlignment="1" applyProtection="1">
      <alignment horizontal="right" vertical="center"/>
      <protection hidden="1"/>
    </xf>
    <xf numFmtId="1" fontId="36" fillId="6" borderId="0" xfId="0" applyNumberFormat="1" applyFont="1" applyFill="1" applyBorder="1" applyAlignment="1" applyProtection="1">
      <alignment horizontal="right" vertical="center"/>
      <protection hidden="1"/>
    </xf>
    <xf numFmtId="1" fontId="0" fillId="6" borderId="0" xfId="0" applyNumberFormat="1" applyFont="1" applyFill="1" applyAlignment="1" applyProtection="1">
      <alignment horizontal="right" vertical="center"/>
      <protection hidden="1"/>
    </xf>
    <xf numFmtId="180" fontId="0" fillId="7" borderId="0" xfId="0" applyNumberFormat="1" applyFill="1" applyAlignment="1" applyProtection="1">
      <alignment horizontal="right" vertical="center"/>
      <protection hidden="1"/>
    </xf>
    <xf numFmtId="0" fontId="0" fillId="7" borderId="0" xfId="0" applyFill="1" applyAlignment="1" applyProtection="1">
      <alignment horizontal="right" vertical="center"/>
      <protection hidden="1"/>
    </xf>
    <xf numFmtId="0" fontId="36" fillId="6" borderId="0" xfId="0" applyFont="1" applyFill="1" applyBorder="1" applyAlignment="1" applyProtection="1">
      <alignment horizontal="right" vertical="center"/>
      <protection hidden="1"/>
    </xf>
    <xf numFmtId="1" fontId="36" fillId="6" borderId="0" xfId="0" applyNumberFormat="1" applyFont="1" applyFill="1" applyBorder="1" applyAlignment="1" applyProtection="1">
      <alignment horizontal="right" vertical="center"/>
      <protection hidden="1"/>
    </xf>
    <xf numFmtId="1" fontId="0" fillId="6" borderId="0" xfId="0" applyNumberFormat="1" applyFill="1" applyBorder="1" applyAlignment="1" applyProtection="1">
      <alignment horizontal="right" vertical="center"/>
      <protection hidden="1"/>
    </xf>
    <xf numFmtId="0" fontId="36" fillId="6" borderId="0" xfId="0" applyFont="1" applyFill="1" applyBorder="1" applyAlignment="1" applyProtection="1">
      <alignment horizontal="right" vertical="center"/>
      <protection hidden="1"/>
    </xf>
    <xf numFmtId="0" fontId="36" fillId="34" borderId="0" xfId="0" applyFont="1" applyFill="1" applyAlignment="1" applyProtection="1">
      <alignment horizontal="right" vertical="center"/>
      <protection hidden="1"/>
    </xf>
    <xf numFmtId="1" fontId="36" fillId="6" borderId="0" xfId="0" applyNumberFormat="1" applyFont="1" applyFill="1" applyAlignment="1" applyProtection="1">
      <alignment horizontal="right" vertical="center"/>
      <protection hidden="1"/>
    </xf>
    <xf numFmtId="0" fontId="36" fillId="7" borderId="0" xfId="0" applyFont="1" applyFill="1" applyBorder="1" applyAlignment="1" applyProtection="1">
      <alignment horizontal="right" vertical="center"/>
      <protection hidden="1"/>
    </xf>
    <xf numFmtId="0" fontId="36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180" fontId="0" fillId="7" borderId="0" xfId="0" applyNumberForma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80" fontId="0" fillId="0" borderId="0" xfId="0" applyNumberFormat="1" applyFont="1" applyBorder="1" applyAlignment="1" applyProtection="1">
      <alignment horizontal="right" vertical="center"/>
      <protection hidden="1"/>
    </xf>
    <xf numFmtId="178" fontId="0" fillId="6" borderId="0" xfId="0" applyNumberFormat="1" applyFont="1" applyFill="1" applyAlignment="1" applyProtection="1">
      <alignment horizontal="right" vertical="center"/>
      <protection hidden="1"/>
    </xf>
    <xf numFmtId="1" fontId="44" fillId="0" borderId="0" xfId="0" applyNumberFormat="1" applyFont="1" applyBorder="1" applyAlignment="1" applyProtection="1">
      <alignment horizontal="right" vertical="center"/>
      <protection hidden="1"/>
    </xf>
    <xf numFmtId="180" fontId="44" fillId="0" borderId="0" xfId="0" applyNumberFormat="1" applyFont="1" applyBorder="1" applyAlignment="1" applyProtection="1">
      <alignment horizontal="right" vertical="center"/>
      <protection hidden="1"/>
    </xf>
    <xf numFmtId="180" fontId="44" fillId="0" borderId="0" xfId="0" applyNumberFormat="1" applyFont="1" applyFill="1" applyBorder="1" applyAlignment="1" applyProtection="1">
      <alignment horizontal="right" vertical="center"/>
      <protection hidden="1"/>
    </xf>
    <xf numFmtId="2" fontId="44" fillId="0" borderId="0" xfId="0" applyNumberFormat="1" applyFont="1" applyBorder="1" applyAlignment="1" applyProtection="1">
      <alignment horizontal="right" vertical="center"/>
      <protection hidden="1"/>
    </xf>
    <xf numFmtId="180" fontId="44" fillId="34" borderId="0" xfId="0" applyNumberFormat="1" applyFont="1" applyFill="1" applyBorder="1" applyAlignment="1" applyProtection="1">
      <alignment horizontal="right" vertical="center"/>
      <protection hidden="1"/>
    </xf>
    <xf numFmtId="2" fontId="0" fillId="34" borderId="0" xfId="0" applyNumberFormat="1" applyFill="1" applyAlignment="1" applyProtection="1">
      <alignment horizontal="right" vertical="center"/>
      <protection hidden="1"/>
    </xf>
    <xf numFmtId="178" fontId="0" fillId="34" borderId="0" xfId="0" applyNumberFormat="1" applyFont="1" applyFill="1" applyAlignment="1" applyProtection="1">
      <alignment horizontal="right" vertical="center"/>
      <protection hidden="1"/>
    </xf>
    <xf numFmtId="1" fontId="0" fillId="0" borderId="0" xfId="0" applyNumberFormat="1" applyAlignment="1" applyProtection="1">
      <alignment horizontal="right"/>
      <protection hidden="1"/>
    </xf>
    <xf numFmtId="2" fontId="0" fillId="6" borderId="0" xfId="0" applyNumberFormat="1" applyFont="1" applyFill="1" applyAlignment="1" applyProtection="1">
      <alignment horizontal="right" vertical="center"/>
      <protection hidden="1"/>
    </xf>
    <xf numFmtId="2" fontId="0" fillId="7" borderId="0" xfId="0" applyNumberFormat="1" applyFont="1" applyFill="1" applyAlignment="1" applyProtection="1">
      <alignment horizontal="right" vertical="center"/>
      <protection hidden="1"/>
    </xf>
    <xf numFmtId="1" fontId="0" fillId="0" borderId="0" xfId="0" applyNumberFormat="1" applyFill="1" applyAlignment="1" applyProtection="1">
      <alignment horizontal="right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34" borderId="0" xfId="0" applyFont="1" applyFill="1" applyBorder="1" applyAlignment="1" applyProtection="1">
      <alignment horizontal="right" vertical="center"/>
      <protection hidden="1"/>
    </xf>
    <xf numFmtId="177" fontId="0" fillId="6" borderId="0" xfId="0" applyNumberFormat="1" applyFont="1" applyFill="1" applyAlignment="1" applyProtection="1">
      <alignment horizontal="right" vertical="center"/>
      <protection hidden="1"/>
    </xf>
    <xf numFmtId="1" fontId="0" fillId="34" borderId="0" xfId="0" applyNumberFormat="1" applyFont="1" applyFill="1" applyAlignment="1" applyProtection="1">
      <alignment horizontal="right" vertical="center"/>
      <protection hidden="1"/>
    </xf>
    <xf numFmtId="1" fontId="0" fillId="0" borderId="0" xfId="0" applyNumberFormat="1" applyFont="1" applyFill="1" applyAlignment="1" applyProtection="1">
      <alignment horizontal="right" vertical="center" wrapText="1"/>
      <protection hidden="1"/>
    </xf>
    <xf numFmtId="1" fontId="36" fillId="0" borderId="0" xfId="0" applyNumberFormat="1" applyFont="1" applyFill="1" applyAlignment="1" applyProtection="1">
      <alignment horizontal="right" vertical="center"/>
      <protection hidden="1"/>
    </xf>
    <xf numFmtId="1" fontId="36" fillId="0" borderId="0" xfId="0" applyNumberFormat="1" applyFont="1" applyFill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1" fontId="36" fillId="0" borderId="17" xfId="0" applyNumberFormat="1" applyFont="1" applyFill="1" applyBorder="1" applyAlignment="1" applyProtection="1">
      <alignment horizontal="right" vertical="center" wrapText="1"/>
      <protection hidden="1"/>
    </xf>
    <xf numFmtId="1" fontId="36" fillId="0" borderId="17" xfId="0" applyNumberFormat="1" applyFont="1" applyFill="1" applyBorder="1" applyAlignment="1" applyProtection="1">
      <alignment horizontal="right" vertical="center"/>
      <protection hidden="1"/>
    </xf>
    <xf numFmtId="180" fontId="0" fillId="6" borderId="0" xfId="0" applyNumberFormat="1" applyFont="1" applyFill="1" applyBorder="1" applyAlignment="1" applyProtection="1">
      <alignment horizontal="right" vertical="center"/>
      <protection hidden="1"/>
    </xf>
    <xf numFmtId="180" fontId="0" fillId="0" borderId="0" xfId="0" applyNumberFormat="1" applyFont="1" applyFill="1" applyBorder="1" applyAlignment="1" applyProtection="1">
      <alignment horizontal="right" vertical="center"/>
      <protection hidden="1"/>
    </xf>
    <xf numFmtId="180" fontId="0" fillId="7" borderId="0" xfId="0" applyNumberFormat="1" applyFont="1" applyFill="1" applyAlignment="1" applyProtection="1">
      <alignment horizontal="right" vertical="center"/>
      <protection hidden="1"/>
    </xf>
    <xf numFmtId="180" fontId="37" fillId="0" borderId="0" xfId="0" applyNumberFormat="1" applyFont="1" applyFill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 horizontal="left" vertical="center"/>
      <protection hidden="1"/>
    </xf>
    <xf numFmtId="1" fontId="36" fillId="0" borderId="18" xfId="0" applyNumberFormat="1" applyFont="1" applyFill="1" applyBorder="1" applyAlignment="1" applyProtection="1">
      <alignment horizontal="right" vertical="center" wrapText="1"/>
      <protection hidden="1"/>
    </xf>
    <xf numFmtId="1" fontId="36" fillId="0" borderId="19" xfId="0" applyNumberFormat="1" applyFont="1" applyFill="1" applyBorder="1" applyAlignment="1" applyProtection="1">
      <alignment horizontal="right" vertical="center"/>
      <protection hidden="1"/>
    </xf>
    <xf numFmtId="180" fontId="0" fillId="6" borderId="0" xfId="0" applyNumberFormat="1" applyFont="1" applyFill="1" applyAlignment="1" applyProtection="1">
      <alignment horizontal="right" vertical="center"/>
      <protection hidden="1"/>
    </xf>
    <xf numFmtId="1" fontId="0" fillId="0" borderId="18" xfId="0" applyNumberFormat="1" applyBorder="1" applyAlignment="1" applyProtection="1">
      <alignment horizontal="right" vertical="center"/>
      <protection hidden="1"/>
    </xf>
    <xf numFmtId="1" fontId="36" fillId="0" borderId="19" xfId="0" applyNumberFormat="1" applyFont="1" applyFill="1" applyBorder="1" applyAlignment="1" applyProtection="1">
      <alignment horizontal="right" vertical="center" wrapText="1"/>
      <protection hidden="1"/>
    </xf>
    <xf numFmtId="180" fontId="23" fillId="6" borderId="0" xfId="0" applyNumberFormat="1" applyFont="1" applyFill="1" applyBorder="1" applyAlignment="1" applyProtection="1">
      <alignment horizontal="right" vertical="center"/>
      <protection hidden="1"/>
    </xf>
    <xf numFmtId="1" fontId="0" fillId="0" borderId="0" xfId="0" applyNumberFormat="1" applyFont="1" applyAlignment="1" applyProtection="1">
      <alignment horizontal="right" vertical="center" wrapText="1"/>
      <protection hidden="1"/>
    </xf>
    <xf numFmtId="1" fontId="0" fillId="34" borderId="0" xfId="0" applyNumberFormat="1" applyFont="1" applyFill="1" applyAlignment="1" applyProtection="1">
      <alignment horizontal="right" vertical="center" wrapText="1"/>
      <protection hidden="1"/>
    </xf>
    <xf numFmtId="0" fontId="36" fillId="0" borderId="0" xfId="0" applyFont="1" applyAlignment="1" applyProtection="1">
      <alignment horizontal="right" vertical="center"/>
      <protection hidden="1"/>
    </xf>
    <xf numFmtId="180" fontId="0" fillId="7" borderId="0" xfId="0" applyNumberFormat="1" applyFont="1" applyFill="1" applyBorder="1" applyAlignment="1" applyProtection="1">
      <alignment horizontal="right" vertical="center"/>
      <protection hidden="1"/>
    </xf>
    <xf numFmtId="0" fontId="36" fillId="0" borderId="0" xfId="0" applyFont="1" applyFill="1" applyAlignment="1" applyProtection="1">
      <alignment horizontal="right" vertical="center"/>
      <protection hidden="1"/>
    </xf>
    <xf numFmtId="1" fontId="22" fillId="0" borderId="0" xfId="0" applyNumberFormat="1" applyFont="1" applyFill="1" applyAlignment="1" applyProtection="1">
      <alignment horizontal="right" vertical="center"/>
      <protection hidden="1"/>
    </xf>
    <xf numFmtId="2" fontId="23" fillId="6" borderId="0" xfId="0" applyNumberFormat="1" applyFont="1" applyFill="1" applyAlignment="1" applyProtection="1">
      <alignment horizontal="right" vertical="center"/>
      <protection hidden="1"/>
    </xf>
    <xf numFmtId="2" fontId="23" fillId="0" borderId="0" xfId="0" applyNumberFormat="1" applyFont="1" applyFill="1" applyAlignment="1" applyProtection="1">
      <alignment horizontal="right" vertical="center"/>
      <protection hidden="1"/>
    </xf>
    <xf numFmtId="2" fontId="23" fillId="7" borderId="0" xfId="0" applyNumberFormat="1" applyFont="1" applyFill="1" applyAlignment="1" applyProtection="1">
      <alignment horizontal="right" vertical="center"/>
      <protection hidden="1"/>
    </xf>
    <xf numFmtId="180" fontId="23" fillId="0" borderId="0" xfId="0" applyNumberFormat="1" applyFont="1" applyFill="1" applyAlignment="1" applyProtection="1">
      <alignment horizontal="right" vertical="center"/>
      <protection hidden="1"/>
    </xf>
    <xf numFmtId="180" fontId="23" fillId="34" borderId="0" xfId="0" applyNumberFormat="1" applyFont="1" applyFill="1" applyAlignment="1" applyProtection="1">
      <alignment horizontal="right"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0" fontId="0" fillId="33" borderId="21" xfId="0" applyFill="1" applyBorder="1" applyAlignment="1" applyProtection="1">
      <alignment vertical="center"/>
      <protection hidden="1"/>
    </xf>
    <xf numFmtId="0" fontId="0" fillId="33" borderId="22" xfId="0" applyFill="1" applyBorder="1" applyAlignment="1" applyProtection="1">
      <alignment vertical="center"/>
      <protection hidden="1"/>
    </xf>
    <xf numFmtId="0" fontId="0" fillId="33" borderId="15" xfId="0" applyFont="1" applyFill="1" applyBorder="1" applyAlignment="1" applyProtection="1">
      <alignment horizontal="right" vertical="center"/>
      <protection hidden="1"/>
    </xf>
    <xf numFmtId="0" fontId="0" fillId="33" borderId="21" xfId="0" applyFont="1" applyFill="1" applyBorder="1" applyAlignment="1" applyProtection="1">
      <alignment vertical="center"/>
      <protection hidden="1"/>
    </xf>
    <xf numFmtId="1" fontId="0" fillId="33" borderId="15" xfId="0" applyNumberFormat="1" applyFont="1" applyFill="1" applyBorder="1" applyAlignment="1" applyProtection="1">
      <alignment horizontal="right" vertical="center" wrapText="1"/>
      <protection hidden="1"/>
    </xf>
    <xf numFmtId="0" fontId="0" fillId="33" borderId="23" xfId="0" applyFont="1" applyFill="1" applyBorder="1" applyAlignment="1" applyProtection="1">
      <alignment vertical="center"/>
      <protection hidden="1"/>
    </xf>
    <xf numFmtId="1" fontId="0" fillId="33" borderId="23" xfId="0" applyNumberFormat="1" applyFont="1" applyFill="1" applyBorder="1" applyAlignment="1" applyProtection="1">
      <alignment vertical="center" wrapText="1"/>
      <protection hidden="1"/>
    </xf>
    <xf numFmtId="180" fontId="23" fillId="0" borderId="15" xfId="0" applyNumberFormat="1" applyFont="1" applyFill="1" applyBorder="1" applyAlignment="1" applyProtection="1">
      <alignment horizontal="right" vertical="center"/>
      <protection hidden="1"/>
    </xf>
    <xf numFmtId="180" fontId="23" fillId="36" borderId="15" xfId="0" applyNumberFormat="1" applyFont="1" applyFill="1" applyBorder="1" applyAlignment="1" applyProtection="1">
      <alignment horizontal="right" vertical="center"/>
      <protection hidden="1"/>
    </xf>
    <xf numFmtId="0" fontId="0" fillId="33" borderId="24" xfId="0" applyFont="1" applyFill="1" applyBorder="1" applyAlignment="1" applyProtection="1">
      <alignment vertical="center"/>
      <protection hidden="1"/>
    </xf>
    <xf numFmtId="1" fontId="23" fillId="0" borderId="15" xfId="0" applyNumberFormat="1" applyFont="1" applyFill="1" applyBorder="1" applyAlignment="1" applyProtection="1">
      <alignment horizontal="right" vertical="center"/>
      <protection hidden="1"/>
    </xf>
    <xf numFmtId="180" fontId="0" fillId="0" borderId="15" xfId="0" applyNumberFormat="1" applyFont="1" applyFill="1" applyBorder="1" applyAlignment="1" applyProtection="1">
      <alignment horizontal="right" vertical="center"/>
      <protection hidden="1"/>
    </xf>
    <xf numFmtId="0" fontId="0" fillId="33" borderId="24" xfId="0" applyFont="1" applyFill="1" applyBorder="1" applyAlignment="1" applyProtection="1">
      <alignment vertical="center" wrapText="1"/>
      <protection hidden="1"/>
    </xf>
    <xf numFmtId="1" fontId="0" fillId="33" borderId="24" xfId="0" applyNumberFormat="1" applyFont="1" applyFill="1" applyBorder="1" applyAlignment="1" applyProtection="1">
      <alignment vertical="center" wrapText="1"/>
      <protection hidden="1"/>
    </xf>
    <xf numFmtId="0" fontId="0" fillId="33" borderId="25" xfId="0" applyFont="1" applyFill="1" applyBorder="1" applyAlignment="1" applyProtection="1">
      <alignment vertical="center" wrapText="1"/>
      <protection hidden="1"/>
    </xf>
    <xf numFmtId="1" fontId="0" fillId="33" borderId="25" xfId="0" applyNumberFormat="1" applyFont="1" applyFill="1" applyBorder="1" applyAlignment="1" applyProtection="1">
      <alignment vertical="center" wrapText="1"/>
      <protection hidden="1"/>
    </xf>
    <xf numFmtId="0" fontId="0" fillId="0" borderId="15" xfId="0" applyFont="1" applyFill="1" applyBorder="1" applyAlignment="1" applyProtection="1">
      <alignment horizontal="right" vertical="center"/>
      <protection hidden="1"/>
    </xf>
    <xf numFmtId="0" fontId="0" fillId="33" borderId="25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right" vertical="center"/>
      <protection hidden="1"/>
    </xf>
    <xf numFmtId="0" fontId="0" fillId="33" borderId="22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horizontal="right" vertical="center"/>
      <protection hidden="1"/>
    </xf>
    <xf numFmtId="0" fontId="0" fillId="33" borderId="20" xfId="0" applyFill="1" applyBorder="1" applyAlignment="1" applyProtection="1">
      <alignment horizontal="right" vertical="center"/>
      <protection hidden="1"/>
    </xf>
    <xf numFmtId="0" fontId="0" fillId="33" borderId="22" xfId="0" applyFont="1" applyFill="1" applyBorder="1" applyAlignment="1" applyProtection="1">
      <alignment horizontal="right" vertical="center"/>
      <protection hidden="1"/>
    </xf>
    <xf numFmtId="0" fontId="0" fillId="33" borderId="15" xfId="0" applyFont="1" applyFill="1" applyBorder="1" applyAlignment="1" applyProtection="1">
      <alignment horizontal="right" vertical="center" wrapText="1"/>
      <protection hidden="1"/>
    </xf>
    <xf numFmtId="0" fontId="0" fillId="33" borderId="23" xfId="0" applyFont="1" applyFill="1" applyBorder="1" applyAlignment="1" applyProtection="1">
      <alignment vertical="center" wrapText="1"/>
      <protection hidden="1"/>
    </xf>
    <xf numFmtId="2" fontId="0" fillId="33" borderId="15" xfId="0" applyNumberFormat="1" applyFont="1" applyFill="1" applyBorder="1" applyAlignment="1" applyProtection="1">
      <alignment horizontal="right" vertical="center"/>
      <protection hidden="1"/>
    </xf>
    <xf numFmtId="2" fontId="0" fillId="0" borderId="15" xfId="0" applyNumberFormat="1" applyFont="1" applyFill="1" applyBorder="1" applyAlignment="1" applyProtection="1">
      <alignment horizontal="right" vertical="center"/>
      <protection hidden="1"/>
    </xf>
    <xf numFmtId="0" fontId="0" fillId="0" borderId="15" xfId="0" applyFont="1" applyBorder="1" applyAlignment="1" applyProtection="1">
      <alignment horizontal="right" vertic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90</xdr:row>
      <xdr:rowOff>9525</xdr:rowOff>
    </xdr:from>
    <xdr:to>
      <xdr:col>13</xdr:col>
      <xdr:colOff>514350</xdr:colOff>
      <xdr:row>94</xdr:row>
      <xdr:rowOff>38100</xdr:rowOff>
    </xdr:to>
    <xdr:sp>
      <xdr:nvSpPr>
        <xdr:cNvPr id="1" name="Rovná spojovacia šípka 2"/>
        <xdr:cNvSpPr>
          <a:spLocks/>
        </xdr:cNvSpPr>
      </xdr:nvSpPr>
      <xdr:spPr>
        <a:xfrm flipH="1">
          <a:off x="6972300" y="17049750"/>
          <a:ext cx="1990725" cy="7905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161925</xdr:rowOff>
    </xdr:from>
    <xdr:to>
      <xdr:col>28</xdr:col>
      <xdr:colOff>228600</xdr:colOff>
      <xdr:row>90</xdr:row>
      <xdr:rowOff>9525</xdr:rowOff>
    </xdr:to>
    <xdr:sp>
      <xdr:nvSpPr>
        <xdr:cNvPr id="2" name="Zaoblený obdĺžnik 3"/>
        <xdr:cNvSpPr>
          <a:spLocks/>
        </xdr:cNvSpPr>
      </xdr:nvSpPr>
      <xdr:spPr>
        <a:xfrm>
          <a:off x="1657350" y="733425"/>
          <a:ext cx="14297025" cy="163163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94</xdr:row>
      <xdr:rowOff>38100</xdr:rowOff>
    </xdr:from>
    <xdr:to>
      <xdr:col>19</xdr:col>
      <xdr:colOff>104775</xdr:colOff>
      <xdr:row>109</xdr:row>
      <xdr:rowOff>57150</xdr:rowOff>
    </xdr:to>
    <xdr:sp>
      <xdr:nvSpPr>
        <xdr:cNvPr id="3" name="Zaoblený obdĺžnik 6"/>
        <xdr:cNvSpPr>
          <a:spLocks/>
        </xdr:cNvSpPr>
      </xdr:nvSpPr>
      <xdr:spPr>
        <a:xfrm>
          <a:off x="2200275" y="17840325"/>
          <a:ext cx="9229725" cy="29432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666750</xdr:colOff>
      <xdr:row>112</xdr:row>
      <xdr:rowOff>161925</xdr:rowOff>
    </xdr:from>
    <xdr:to>
      <xdr:col>19</xdr:col>
      <xdr:colOff>85725</xdr:colOff>
      <xdr:row>123</xdr:row>
      <xdr:rowOff>76200</xdr:rowOff>
    </xdr:to>
    <xdr:sp>
      <xdr:nvSpPr>
        <xdr:cNvPr id="4" name="Zaoblený obdĺžnik 9"/>
        <xdr:cNvSpPr>
          <a:spLocks/>
        </xdr:cNvSpPr>
      </xdr:nvSpPr>
      <xdr:spPr>
        <a:xfrm>
          <a:off x="3781425" y="21459825"/>
          <a:ext cx="7629525" cy="20097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85725</xdr:colOff>
      <xdr:row>77</xdr:row>
      <xdr:rowOff>142875</xdr:rowOff>
    </xdr:from>
    <xdr:to>
      <xdr:col>36</xdr:col>
      <xdr:colOff>85725</xdr:colOff>
      <xdr:row>118</xdr:row>
      <xdr:rowOff>28575</xdr:rowOff>
    </xdr:to>
    <xdr:sp>
      <xdr:nvSpPr>
        <xdr:cNvPr id="5" name="Rovná spojovacia šípka 10"/>
        <xdr:cNvSpPr>
          <a:spLocks/>
        </xdr:cNvSpPr>
      </xdr:nvSpPr>
      <xdr:spPr>
        <a:xfrm flipH="1">
          <a:off x="11410950" y="14706600"/>
          <a:ext cx="9344025" cy="77628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723900</xdr:colOff>
      <xdr:row>2</xdr:row>
      <xdr:rowOff>180975</xdr:rowOff>
    </xdr:from>
    <xdr:to>
      <xdr:col>42</xdr:col>
      <xdr:colOff>38100</xdr:colOff>
      <xdr:row>77</xdr:row>
      <xdr:rowOff>142875</xdr:rowOff>
    </xdr:to>
    <xdr:sp>
      <xdr:nvSpPr>
        <xdr:cNvPr id="6" name="Zaoblený obdĺžnik 19"/>
        <xdr:cNvSpPr>
          <a:spLocks/>
        </xdr:cNvSpPr>
      </xdr:nvSpPr>
      <xdr:spPr>
        <a:xfrm>
          <a:off x="17202150" y="561975"/>
          <a:ext cx="7105650" cy="141446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590550</xdr:colOff>
      <xdr:row>5</xdr:row>
      <xdr:rowOff>123825</xdr:rowOff>
    </xdr:from>
    <xdr:to>
      <xdr:col>58</xdr:col>
      <xdr:colOff>9525</xdr:colOff>
      <xdr:row>12</xdr:row>
      <xdr:rowOff>57150</xdr:rowOff>
    </xdr:to>
    <xdr:sp>
      <xdr:nvSpPr>
        <xdr:cNvPr id="7" name="Zaoblený obdĺžnik 25"/>
        <xdr:cNvSpPr>
          <a:spLocks/>
        </xdr:cNvSpPr>
      </xdr:nvSpPr>
      <xdr:spPr>
        <a:xfrm>
          <a:off x="25069800" y="1076325"/>
          <a:ext cx="7172325" cy="12382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600075</xdr:colOff>
      <xdr:row>12</xdr:row>
      <xdr:rowOff>57150</xdr:rowOff>
    </xdr:from>
    <xdr:to>
      <xdr:col>51</xdr:col>
      <xdr:colOff>142875</xdr:colOff>
      <xdr:row>13</xdr:row>
      <xdr:rowOff>171450</xdr:rowOff>
    </xdr:to>
    <xdr:sp>
      <xdr:nvSpPr>
        <xdr:cNvPr id="8" name="Rovná spojovacia šípka 26"/>
        <xdr:cNvSpPr>
          <a:spLocks/>
        </xdr:cNvSpPr>
      </xdr:nvSpPr>
      <xdr:spPr>
        <a:xfrm>
          <a:off x="28470225" y="2314575"/>
          <a:ext cx="171450" cy="30480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209550</xdr:colOff>
      <xdr:row>18</xdr:row>
      <xdr:rowOff>95250</xdr:rowOff>
    </xdr:from>
    <xdr:to>
      <xdr:col>58</xdr:col>
      <xdr:colOff>171450</xdr:colOff>
      <xdr:row>62</xdr:row>
      <xdr:rowOff>152400</xdr:rowOff>
    </xdr:to>
    <xdr:sp>
      <xdr:nvSpPr>
        <xdr:cNvPr id="9" name="Zaoblený obdĺžnik 30"/>
        <xdr:cNvSpPr>
          <a:spLocks/>
        </xdr:cNvSpPr>
      </xdr:nvSpPr>
      <xdr:spPr>
        <a:xfrm>
          <a:off x="24479250" y="3533775"/>
          <a:ext cx="7924800" cy="8324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381000</xdr:colOff>
      <xdr:row>62</xdr:row>
      <xdr:rowOff>152400</xdr:rowOff>
    </xdr:from>
    <xdr:to>
      <xdr:col>50</xdr:col>
      <xdr:colOff>400050</xdr:colOff>
      <xdr:row>67</xdr:row>
      <xdr:rowOff>104775</xdr:rowOff>
    </xdr:to>
    <xdr:sp>
      <xdr:nvSpPr>
        <xdr:cNvPr id="10" name="Rovná spojovacia šípka 31"/>
        <xdr:cNvSpPr>
          <a:spLocks/>
        </xdr:cNvSpPr>
      </xdr:nvSpPr>
      <xdr:spPr>
        <a:xfrm>
          <a:off x="28251150" y="11858625"/>
          <a:ext cx="19050" cy="9048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457200</xdr:colOff>
      <xdr:row>77</xdr:row>
      <xdr:rowOff>28575</xdr:rowOff>
    </xdr:from>
    <xdr:to>
      <xdr:col>58</xdr:col>
      <xdr:colOff>123825</xdr:colOff>
      <xdr:row>84</xdr:row>
      <xdr:rowOff>152400</xdr:rowOff>
    </xdr:to>
    <xdr:sp>
      <xdr:nvSpPr>
        <xdr:cNvPr id="11" name="Zaoblený obdĺžnik 34"/>
        <xdr:cNvSpPr>
          <a:spLocks/>
        </xdr:cNvSpPr>
      </xdr:nvSpPr>
      <xdr:spPr>
        <a:xfrm>
          <a:off x="26260425" y="14592300"/>
          <a:ext cx="6096000" cy="14573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247650</xdr:colOff>
      <xdr:row>84</xdr:row>
      <xdr:rowOff>152400</xdr:rowOff>
    </xdr:from>
    <xdr:to>
      <xdr:col>52</xdr:col>
      <xdr:colOff>342900</xdr:colOff>
      <xdr:row>85</xdr:row>
      <xdr:rowOff>180975</xdr:rowOff>
    </xdr:to>
    <xdr:sp>
      <xdr:nvSpPr>
        <xdr:cNvPr id="12" name="Rovná spojovacia šípka 35"/>
        <xdr:cNvSpPr>
          <a:spLocks/>
        </xdr:cNvSpPr>
      </xdr:nvSpPr>
      <xdr:spPr>
        <a:xfrm>
          <a:off x="29308425" y="16049625"/>
          <a:ext cx="95250" cy="2190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28575</xdr:colOff>
      <xdr:row>68</xdr:row>
      <xdr:rowOff>9525</xdr:rowOff>
    </xdr:from>
    <xdr:to>
      <xdr:col>58</xdr:col>
      <xdr:colOff>95250</xdr:colOff>
      <xdr:row>75</xdr:row>
      <xdr:rowOff>171450</xdr:rowOff>
    </xdr:to>
    <xdr:sp>
      <xdr:nvSpPr>
        <xdr:cNvPr id="13" name="Zaoblený obdĺžnik 40"/>
        <xdr:cNvSpPr>
          <a:spLocks/>
        </xdr:cNvSpPr>
      </xdr:nvSpPr>
      <xdr:spPr>
        <a:xfrm>
          <a:off x="26327100" y="12858750"/>
          <a:ext cx="6000750" cy="14954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228600</xdr:colOff>
      <xdr:row>132</xdr:row>
      <xdr:rowOff>133350</xdr:rowOff>
    </xdr:from>
    <xdr:to>
      <xdr:col>45</xdr:col>
      <xdr:colOff>28575</xdr:colOff>
      <xdr:row>132</xdr:row>
      <xdr:rowOff>161925</xdr:rowOff>
    </xdr:to>
    <xdr:sp>
      <xdr:nvSpPr>
        <xdr:cNvPr id="14" name="Rovná spojovacia šípka 42"/>
        <xdr:cNvSpPr>
          <a:spLocks/>
        </xdr:cNvSpPr>
      </xdr:nvSpPr>
      <xdr:spPr>
        <a:xfrm flipH="1">
          <a:off x="12030075" y="25241250"/>
          <a:ext cx="13801725" cy="285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695325</xdr:colOff>
      <xdr:row>71</xdr:row>
      <xdr:rowOff>180975</xdr:rowOff>
    </xdr:from>
    <xdr:to>
      <xdr:col>45</xdr:col>
      <xdr:colOff>28575</xdr:colOff>
      <xdr:row>132</xdr:row>
      <xdr:rowOff>123825</xdr:rowOff>
    </xdr:to>
    <xdr:sp>
      <xdr:nvSpPr>
        <xdr:cNvPr id="15" name="Rovná spojnica 50"/>
        <xdr:cNvSpPr>
          <a:spLocks/>
        </xdr:cNvSpPr>
      </xdr:nvSpPr>
      <xdr:spPr>
        <a:xfrm>
          <a:off x="25784175" y="13601700"/>
          <a:ext cx="47625" cy="116300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704850</xdr:colOff>
      <xdr:row>88</xdr:row>
      <xdr:rowOff>95250</xdr:rowOff>
    </xdr:from>
    <xdr:to>
      <xdr:col>45</xdr:col>
      <xdr:colOff>438150</xdr:colOff>
      <xdr:row>88</xdr:row>
      <xdr:rowOff>114300</xdr:rowOff>
    </xdr:to>
    <xdr:sp>
      <xdr:nvSpPr>
        <xdr:cNvPr id="16" name="Rovná spojnica 51"/>
        <xdr:cNvSpPr>
          <a:spLocks/>
        </xdr:cNvSpPr>
      </xdr:nvSpPr>
      <xdr:spPr>
        <a:xfrm flipH="1">
          <a:off x="25793700" y="16754475"/>
          <a:ext cx="447675" cy="190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409575</xdr:colOff>
      <xdr:row>86</xdr:row>
      <xdr:rowOff>28575</xdr:rowOff>
    </xdr:from>
    <xdr:to>
      <xdr:col>58</xdr:col>
      <xdr:colOff>200025</xdr:colOff>
      <xdr:row>92</xdr:row>
      <xdr:rowOff>114300</xdr:rowOff>
    </xdr:to>
    <xdr:sp>
      <xdr:nvSpPr>
        <xdr:cNvPr id="17" name="Zaoblený obdĺžnik 53"/>
        <xdr:cNvSpPr>
          <a:spLocks/>
        </xdr:cNvSpPr>
      </xdr:nvSpPr>
      <xdr:spPr>
        <a:xfrm>
          <a:off x="26212800" y="16306800"/>
          <a:ext cx="6219825" cy="12287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71</xdr:row>
      <xdr:rowOff>180975</xdr:rowOff>
    </xdr:from>
    <xdr:to>
      <xdr:col>46</xdr:col>
      <xdr:colOff>28575</xdr:colOff>
      <xdr:row>72</xdr:row>
      <xdr:rowOff>0</xdr:rowOff>
    </xdr:to>
    <xdr:sp>
      <xdr:nvSpPr>
        <xdr:cNvPr id="18" name="Rovná spojnica 56"/>
        <xdr:cNvSpPr>
          <a:spLocks/>
        </xdr:cNvSpPr>
      </xdr:nvSpPr>
      <xdr:spPr>
        <a:xfrm flipH="1">
          <a:off x="25831800" y="13601700"/>
          <a:ext cx="495300" cy="95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695325</xdr:colOff>
      <xdr:row>13</xdr:row>
      <xdr:rowOff>161925</xdr:rowOff>
    </xdr:from>
    <xdr:to>
      <xdr:col>58</xdr:col>
      <xdr:colOff>57150</xdr:colOff>
      <xdr:row>17</xdr:row>
      <xdr:rowOff>85725</xdr:rowOff>
    </xdr:to>
    <xdr:sp>
      <xdr:nvSpPr>
        <xdr:cNvPr id="19" name="Zaoblený obdĺžnik 70"/>
        <xdr:cNvSpPr>
          <a:spLocks/>
        </xdr:cNvSpPr>
      </xdr:nvSpPr>
      <xdr:spPr>
        <a:xfrm>
          <a:off x="25784175" y="2609850"/>
          <a:ext cx="6505575" cy="704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3.00390625" style="56" customWidth="1"/>
    <col min="2" max="2" width="11.7109375" style="56" customWidth="1"/>
    <col min="3" max="3" width="9.8515625" style="56" bestFit="1" customWidth="1"/>
    <col min="4" max="4" width="12.140625" style="56" bestFit="1" customWidth="1"/>
    <col min="5" max="5" width="10.28125" style="84" customWidth="1"/>
    <col min="6" max="6" width="11.00390625" style="84" customWidth="1"/>
    <col min="7" max="7" width="8.57421875" style="84" bestFit="1" customWidth="1"/>
    <col min="8" max="8" width="5.8515625" style="84" customWidth="1"/>
    <col min="9" max="9" width="9.57421875" style="84" customWidth="1"/>
    <col min="10" max="10" width="9.7109375" style="84" customWidth="1"/>
    <col min="11" max="11" width="8.57421875" style="84" bestFit="1" customWidth="1"/>
    <col min="12" max="12" width="8.7109375" style="8" customWidth="1"/>
    <col min="13" max="14" width="7.7109375" style="8" bestFit="1" customWidth="1"/>
    <col min="15" max="16" width="7.57421875" style="8" bestFit="1" customWidth="1"/>
    <col min="17" max="18" width="6.57421875" style="8" bestFit="1" customWidth="1"/>
    <col min="19" max="19" width="7.140625" style="56" bestFit="1" customWidth="1"/>
    <col min="20" max="20" width="7.140625" style="55" customWidth="1"/>
    <col min="21" max="21" width="8.8515625" style="56" customWidth="1"/>
    <col min="22" max="26" width="6.57421875" style="56" bestFit="1" customWidth="1"/>
    <col min="27" max="27" width="7.28125" style="56" bestFit="1" customWidth="1"/>
    <col min="28" max="28" width="9.8515625" style="56" bestFit="1" customWidth="1"/>
    <col min="29" max="29" width="11.28125" style="56" bestFit="1" customWidth="1"/>
    <col min="30" max="31" width="11.28125" style="56" customWidth="1"/>
    <col min="32" max="32" width="9.140625" style="56" customWidth="1"/>
    <col min="33" max="33" width="9.8515625" style="56" bestFit="1" customWidth="1"/>
    <col min="34" max="34" width="3.00390625" style="56" bestFit="1" customWidth="1"/>
    <col min="35" max="37" width="9.140625" style="56" customWidth="1"/>
    <col min="38" max="38" width="8.28125" style="55" customWidth="1"/>
    <col min="39" max="42" width="9.140625" style="56" customWidth="1"/>
    <col min="43" max="43" width="3.140625" style="55" customWidth="1"/>
    <col min="44" max="44" width="9.140625" style="55" customWidth="1"/>
    <col min="45" max="45" width="10.7109375" style="56" bestFit="1" customWidth="1"/>
    <col min="46" max="47" width="7.421875" style="56" customWidth="1"/>
    <col min="48" max="48" width="7.57421875" style="56" bestFit="1" customWidth="1"/>
    <col min="49" max="49" width="6.57421875" style="56" bestFit="1" customWidth="1"/>
    <col min="50" max="50" width="2.00390625" style="56" customWidth="1"/>
    <col min="51" max="51" width="9.421875" style="56" bestFit="1" customWidth="1"/>
    <col min="52" max="52" width="8.421875" style="56" customWidth="1"/>
    <col min="53" max="53" width="7.57421875" style="56" bestFit="1" customWidth="1"/>
    <col min="54" max="54" width="9.7109375" style="56" bestFit="1" customWidth="1"/>
    <col min="55" max="57" width="7.57421875" style="56" bestFit="1" customWidth="1"/>
    <col min="58" max="58" width="7.57421875" style="56" customWidth="1"/>
    <col min="59" max="60" width="7.57421875" style="55" customWidth="1"/>
    <col min="61" max="61" width="7.140625" style="56" customWidth="1"/>
    <col min="62" max="16384" width="9.140625" style="56" customWidth="1"/>
  </cols>
  <sheetData>
    <row r="1" spans="1:43" ht="15">
      <c r="A1" s="96" t="s">
        <v>45</v>
      </c>
      <c r="B1" s="96"/>
      <c r="C1" s="97"/>
      <c r="E1" s="98" t="s">
        <v>37</v>
      </c>
      <c r="F1" s="83" t="s">
        <v>114</v>
      </c>
      <c r="J1" s="99"/>
      <c r="K1" s="99" t="s">
        <v>112</v>
      </c>
      <c r="L1" s="99" t="s">
        <v>113</v>
      </c>
      <c r="AL1" s="56"/>
      <c r="AQ1" s="100"/>
    </row>
    <row r="2" spans="7:62" ht="15">
      <c r="G2" s="101"/>
      <c r="H2" s="101"/>
      <c r="J2" s="102" t="s">
        <v>9</v>
      </c>
      <c r="K2" s="99">
        <v>22.5</v>
      </c>
      <c r="L2" s="99">
        <v>34</v>
      </c>
      <c r="AF2" s="103" t="s">
        <v>46</v>
      </c>
      <c r="AG2" s="100"/>
      <c r="AH2" s="100"/>
      <c r="AI2" s="100"/>
      <c r="AL2" s="56"/>
      <c r="AQ2" s="100"/>
      <c r="AR2" s="104" t="s">
        <v>65</v>
      </c>
      <c r="BJ2" s="53"/>
    </row>
    <row r="3" spans="4:52" ht="15">
      <c r="D3" s="105"/>
      <c r="G3" s="101"/>
      <c r="H3" s="101"/>
      <c r="J3" s="102" t="s">
        <v>10</v>
      </c>
      <c r="K3" s="99">
        <v>22.7</v>
      </c>
      <c r="L3" s="99">
        <v>34</v>
      </c>
      <c r="AF3" s="53"/>
      <c r="AL3" s="56"/>
      <c r="AQ3" s="100"/>
      <c r="AY3" s="106" t="s">
        <v>94</v>
      </c>
      <c r="AZ3" s="56">
        <v>8</v>
      </c>
    </row>
    <row r="4" spans="5:56" ht="15">
      <c r="E4" s="61"/>
      <c r="G4" s="101"/>
      <c r="H4" s="101"/>
      <c r="AF4" s="107">
        <v>7081</v>
      </c>
      <c r="AI4" s="108" t="s">
        <v>47</v>
      </c>
      <c r="AL4" s="56"/>
      <c r="AQ4" s="100"/>
      <c r="AY4" s="106" t="s">
        <v>67</v>
      </c>
      <c r="AZ4" s="56">
        <v>1.05</v>
      </c>
      <c r="BB4" s="106" t="s">
        <v>80</v>
      </c>
      <c r="BC4" s="56">
        <v>0.1</v>
      </c>
      <c r="BD4" s="53" t="s">
        <v>82</v>
      </c>
    </row>
    <row r="5" spans="4:56" ht="15">
      <c r="D5" s="109"/>
      <c r="E5" s="110" t="s">
        <v>33</v>
      </c>
      <c r="F5" s="110"/>
      <c r="G5" s="101"/>
      <c r="H5" s="111"/>
      <c r="I5" s="110" t="s">
        <v>35</v>
      </c>
      <c r="J5" s="110"/>
      <c r="L5" s="112" t="s">
        <v>33</v>
      </c>
      <c r="M5" s="112"/>
      <c r="N5" s="112"/>
      <c r="O5" s="112"/>
      <c r="P5" s="112"/>
      <c r="Q5" s="112"/>
      <c r="R5" s="112"/>
      <c r="S5" s="112"/>
      <c r="T5" s="71"/>
      <c r="U5" s="113" t="s">
        <v>44</v>
      </c>
      <c r="V5" s="113"/>
      <c r="W5" s="113"/>
      <c r="X5" s="113"/>
      <c r="Y5" s="113"/>
      <c r="Z5" s="113"/>
      <c r="AA5" s="113"/>
      <c r="AB5" s="113"/>
      <c r="AF5" s="114" t="s">
        <v>48</v>
      </c>
      <c r="AG5" s="114"/>
      <c r="AI5" s="113" t="s">
        <v>49</v>
      </c>
      <c r="AJ5" s="113"/>
      <c r="AK5" s="113"/>
      <c r="AL5" s="113"/>
      <c r="AM5" s="113"/>
      <c r="AN5" s="113"/>
      <c r="AO5" s="113"/>
      <c r="AP5" s="113"/>
      <c r="AQ5" s="104"/>
      <c r="AR5" s="57"/>
      <c r="AY5" s="106" t="s">
        <v>73</v>
      </c>
      <c r="AZ5" s="56">
        <v>-100</v>
      </c>
      <c r="BB5" s="106" t="s">
        <v>81</v>
      </c>
      <c r="BC5" s="56">
        <v>0.1</v>
      </c>
      <c r="BD5" s="53" t="s">
        <v>30</v>
      </c>
    </row>
    <row r="6" spans="4:43" ht="15">
      <c r="D6" s="109"/>
      <c r="E6" s="115" t="s">
        <v>40</v>
      </c>
      <c r="F6" s="116" t="s">
        <v>41</v>
      </c>
      <c r="G6" s="101"/>
      <c r="H6" s="111"/>
      <c r="I6" s="115" t="str">
        <f>E6</f>
        <v>AF=1</v>
      </c>
      <c r="J6" s="115" t="str">
        <f>F6</f>
        <v>Mohm</v>
      </c>
      <c r="L6" s="4" t="s">
        <v>38</v>
      </c>
      <c r="M6" s="108" t="s">
        <v>39</v>
      </c>
      <c r="N6" s="5"/>
      <c r="O6" s="5"/>
      <c r="P6" s="5"/>
      <c r="Q6" s="5"/>
      <c r="R6" s="5"/>
      <c r="S6" s="5"/>
      <c r="U6" s="4" t="str">
        <f>L6</f>
        <v>RF=50</v>
      </c>
      <c r="V6" s="4" t="str">
        <f>M6</f>
        <v>Ohm</v>
      </c>
      <c r="W6" s="5"/>
      <c r="X6" s="5"/>
      <c r="Y6" s="5"/>
      <c r="Z6" s="5"/>
      <c r="AA6" s="5"/>
      <c r="AB6" s="5"/>
      <c r="AF6" s="117" t="str">
        <f>I6</f>
        <v>AF=1</v>
      </c>
      <c r="AG6" s="117" t="str">
        <f>J6</f>
        <v>Mohm</v>
      </c>
      <c r="AI6" s="4" t="str">
        <f>U6</f>
        <v>RF=50</v>
      </c>
      <c r="AJ6" s="4" t="str">
        <f>V6</f>
        <v>Ohm</v>
      </c>
      <c r="AK6" s="4"/>
      <c r="AL6" s="4"/>
      <c r="AM6" s="4"/>
      <c r="AN6" s="4"/>
      <c r="AO6" s="4"/>
      <c r="AP6" s="4"/>
      <c r="AQ6" s="118"/>
    </row>
    <row r="7" spans="4:54" ht="15">
      <c r="D7" s="119" t="s">
        <v>97</v>
      </c>
      <c r="E7" s="115" t="s">
        <v>98</v>
      </c>
      <c r="F7" s="115" t="s">
        <v>99</v>
      </c>
      <c r="G7" s="101"/>
      <c r="H7" s="115" t="str">
        <f>D7</f>
        <v>1k</v>
      </c>
      <c r="I7" s="115" t="str">
        <f>E7</f>
        <v>10k</v>
      </c>
      <c r="J7" s="115" t="str">
        <f>F7</f>
        <v>100k</v>
      </c>
      <c r="L7" s="120" t="s">
        <v>99</v>
      </c>
      <c r="M7" s="120" t="s">
        <v>119</v>
      </c>
      <c r="N7" s="120" t="s">
        <v>120</v>
      </c>
      <c r="O7" s="120" t="s">
        <v>121</v>
      </c>
      <c r="P7" s="120" t="s">
        <v>122</v>
      </c>
      <c r="Q7" s="120" t="s">
        <v>123</v>
      </c>
      <c r="R7" s="120" t="s">
        <v>124</v>
      </c>
      <c r="S7" s="120" t="s">
        <v>125</v>
      </c>
      <c r="T7" s="121"/>
      <c r="U7" s="120" t="str">
        <f>L7</f>
        <v>100k</v>
      </c>
      <c r="V7" s="120" t="str">
        <f aca="true" t="shared" si="0" ref="V7:AA7">M7</f>
        <v>500k</v>
      </c>
      <c r="W7" s="120" t="str">
        <f t="shared" si="0"/>
        <v>1M</v>
      </c>
      <c r="X7" s="120" t="str">
        <f t="shared" si="0"/>
        <v>5M</v>
      </c>
      <c r="Y7" s="120" t="str">
        <f t="shared" si="0"/>
        <v>10M</v>
      </c>
      <c r="Z7" s="120" t="str">
        <f t="shared" si="0"/>
        <v>50M</v>
      </c>
      <c r="AA7" s="120" t="str">
        <f t="shared" si="0"/>
        <v>100M</v>
      </c>
      <c r="AB7" s="120" t="str">
        <f>S7</f>
        <v>200M</v>
      </c>
      <c r="AE7" s="117" t="str">
        <f>H7</f>
        <v>1k</v>
      </c>
      <c r="AF7" s="117" t="str">
        <f>I7</f>
        <v>10k</v>
      </c>
      <c r="AG7" s="117" t="str">
        <f>J7</f>
        <v>100k</v>
      </c>
      <c r="AI7" s="4" t="str">
        <f>U7</f>
        <v>100k</v>
      </c>
      <c r="AJ7" s="4" t="str">
        <f>V7</f>
        <v>500k</v>
      </c>
      <c r="AK7" s="4" t="str">
        <f aca="true" t="shared" si="1" ref="AK7:AP7">W7</f>
        <v>1M</v>
      </c>
      <c r="AL7" s="4" t="str">
        <f t="shared" si="1"/>
        <v>5M</v>
      </c>
      <c r="AM7" s="4" t="str">
        <f t="shared" si="1"/>
        <v>10M</v>
      </c>
      <c r="AN7" s="4" t="str">
        <f t="shared" si="1"/>
        <v>50M</v>
      </c>
      <c r="AO7" s="4" t="str">
        <f t="shared" si="1"/>
        <v>100M</v>
      </c>
      <c r="AP7" s="4" t="str">
        <f t="shared" si="1"/>
        <v>200M</v>
      </c>
      <c r="AQ7" s="118"/>
      <c r="AR7" s="121"/>
      <c r="AS7" s="71" t="s">
        <v>47</v>
      </c>
      <c r="AW7" s="72"/>
      <c r="AX7" s="8"/>
      <c r="AY7" s="8"/>
      <c r="AZ7" s="8"/>
      <c r="BA7" s="8"/>
      <c r="BB7" s="8"/>
    </row>
    <row r="8" spans="3:62" s="55" customFormat="1" ht="15">
      <c r="C8" s="122" t="s">
        <v>61</v>
      </c>
      <c r="D8" s="123" t="s">
        <v>60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4"/>
      <c r="AD8" s="124"/>
      <c r="AE8" s="123" t="str">
        <f>D8</f>
        <v>nastavena uroven generatora mV</v>
      </c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5"/>
      <c r="AR8" s="126"/>
      <c r="AT8" s="71" t="s">
        <v>53</v>
      </c>
      <c r="AU8" s="109" t="str">
        <f>H7</f>
        <v>1k</v>
      </c>
      <c r="AV8" s="109" t="str">
        <f>I7</f>
        <v>10k</v>
      </c>
      <c r="AW8" s="109" t="str">
        <f>J7</f>
        <v>100k</v>
      </c>
      <c r="AX8" s="56"/>
      <c r="AY8" s="127" t="str">
        <f aca="true" t="shared" si="2" ref="AY8:BE8">L7</f>
        <v>100k</v>
      </c>
      <c r="AZ8" s="127" t="str">
        <f t="shared" si="2"/>
        <v>500k</v>
      </c>
      <c r="BA8" s="127" t="str">
        <f t="shared" si="2"/>
        <v>1M</v>
      </c>
      <c r="BB8" s="127" t="str">
        <f t="shared" si="2"/>
        <v>5M</v>
      </c>
      <c r="BC8" s="127" t="str">
        <f t="shared" si="2"/>
        <v>10M</v>
      </c>
      <c r="BD8" s="127" t="str">
        <f t="shared" si="2"/>
        <v>50M</v>
      </c>
      <c r="BE8" s="127" t="str">
        <f t="shared" si="2"/>
        <v>100M</v>
      </c>
      <c r="BF8" s="127" t="str">
        <f>AP7</f>
        <v>200M</v>
      </c>
      <c r="BG8" s="71"/>
      <c r="BH8" s="71"/>
      <c r="BI8" s="56"/>
      <c r="BJ8" s="56"/>
    </row>
    <row r="9" spans="3:64" s="55" customFormat="1" ht="15">
      <c r="C9" s="55">
        <v>500</v>
      </c>
      <c r="D9" s="123">
        <v>1000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4"/>
      <c r="AD9" s="124"/>
      <c r="AE9" s="123">
        <f>D9</f>
        <v>1000</v>
      </c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5"/>
      <c r="AR9" s="126"/>
      <c r="AS9" s="53" t="s">
        <v>62</v>
      </c>
      <c r="AT9" s="71" t="s">
        <v>64</v>
      </c>
      <c r="AU9" s="8">
        <f>AV9</f>
        <v>99.7</v>
      </c>
      <c r="AV9" s="8">
        <v>99.7</v>
      </c>
      <c r="AW9" s="8">
        <v>99.7</v>
      </c>
      <c r="AX9" s="10"/>
      <c r="AY9" s="8">
        <v>99.7</v>
      </c>
      <c r="AZ9" s="8">
        <v>99.7</v>
      </c>
      <c r="BA9" s="8">
        <v>99.7</v>
      </c>
      <c r="BB9" s="8">
        <v>99.7</v>
      </c>
      <c r="BC9" s="8">
        <v>99.7</v>
      </c>
      <c r="BD9" s="8">
        <v>99.7</v>
      </c>
      <c r="BE9" s="8">
        <v>99.4</v>
      </c>
      <c r="BF9" s="8">
        <v>99.4</v>
      </c>
      <c r="BG9" s="89"/>
      <c r="BH9" s="89"/>
      <c r="BI9" s="56"/>
      <c r="BJ9" s="53"/>
      <c r="BK9" s="57"/>
      <c r="BL9" s="57"/>
    </row>
    <row r="10" spans="3:65" ht="14.25" customHeight="1">
      <c r="C10" s="128" t="s">
        <v>57</v>
      </c>
      <c r="D10" s="101">
        <v>988</v>
      </c>
      <c r="E10" s="84">
        <v>964</v>
      </c>
      <c r="F10" s="84">
        <v>978</v>
      </c>
      <c r="G10" s="56"/>
      <c r="H10" s="8">
        <v>-25.3</v>
      </c>
      <c r="I10" s="8">
        <v>-25.5</v>
      </c>
      <c r="J10" s="8">
        <v>-27.9</v>
      </c>
      <c r="K10" s="56">
        <v>1</v>
      </c>
      <c r="L10" s="8">
        <v>1017</v>
      </c>
      <c r="M10" s="8">
        <v>1011</v>
      </c>
      <c r="N10" s="129">
        <v>1005</v>
      </c>
      <c r="O10" s="8">
        <v>1017</v>
      </c>
      <c r="P10" s="8">
        <v>986</v>
      </c>
      <c r="Q10" s="8">
        <v>974</v>
      </c>
      <c r="R10" s="8">
        <v>912</v>
      </c>
      <c r="S10" s="56">
        <v>799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E10" s="7">
        <v>993.48</v>
      </c>
      <c r="AF10" s="7">
        <v>993.48</v>
      </c>
      <c r="AG10" s="7">
        <v>1003.3</v>
      </c>
      <c r="AH10" s="56">
        <v>1</v>
      </c>
      <c r="AI10" s="84">
        <v>1037</v>
      </c>
      <c r="AJ10" s="84">
        <v>1030</v>
      </c>
      <c r="AK10" s="84">
        <v>1037</v>
      </c>
      <c r="AL10" s="84">
        <v>1046</v>
      </c>
      <c r="AM10" s="84">
        <v>1018</v>
      </c>
      <c r="AN10" s="84">
        <v>1007</v>
      </c>
      <c r="AO10" s="84">
        <v>998</v>
      </c>
      <c r="AP10" s="56">
        <v>990</v>
      </c>
      <c r="AQ10" s="100"/>
      <c r="AS10" s="56">
        <f>D9</f>
        <v>1000</v>
      </c>
      <c r="AT10" s="71" t="s">
        <v>54</v>
      </c>
      <c r="AU10" s="8">
        <f>AV10</f>
        <v>2.1</v>
      </c>
      <c r="AV10" s="89">
        <f>AY10</f>
        <v>2.1</v>
      </c>
      <c r="AW10" s="89">
        <f>AY10</f>
        <v>2.1</v>
      </c>
      <c r="AY10" s="89">
        <f>AZ10</f>
        <v>2.1</v>
      </c>
      <c r="AZ10" s="89">
        <f>BA10</f>
        <v>2.1</v>
      </c>
      <c r="BA10" s="89">
        <f>BB10</f>
        <v>2.1</v>
      </c>
      <c r="BB10" s="89">
        <f>BC10</f>
        <v>2.1</v>
      </c>
      <c r="BC10" s="8">
        <v>2.1</v>
      </c>
      <c r="BD10" s="8">
        <v>1.3</v>
      </c>
      <c r="BE10" s="8">
        <v>1.3</v>
      </c>
      <c r="BF10" s="8">
        <v>1.3</v>
      </c>
      <c r="BG10" s="89"/>
      <c r="BH10" s="71"/>
      <c r="BI10" s="57"/>
      <c r="BJ10" s="55"/>
      <c r="BM10" s="53"/>
    </row>
    <row r="11" spans="3:65" ht="14.25" customHeight="1">
      <c r="C11" s="128"/>
      <c r="D11" s="101">
        <v>989</v>
      </c>
      <c r="E11" s="84">
        <v>965</v>
      </c>
      <c r="F11" s="84">
        <v>978</v>
      </c>
      <c r="G11" s="56"/>
      <c r="H11" s="8">
        <v>-24.6</v>
      </c>
      <c r="I11" s="8">
        <v>-27.5</v>
      </c>
      <c r="J11" s="8">
        <v>-29</v>
      </c>
      <c r="K11" s="56">
        <v>2</v>
      </c>
      <c r="L11" s="8">
        <v>1016</v>
      </c>
      <c r="M11" s="8">
        <v>1013</v>
      </c>
      <c r="N11" s="129">
        <v>1005</v>
      </c>
      <c r="O11" s="8">
        <v>1016</v>
      </c>
      <c r="P11" s="8">
        <v>984</v>
      </c>
      <c r="Q11" s="8">
        <v>974</v>
      </c>
      <c r="R11" s="8">
        <v>912</v>
      </c>
      <c r="S11" s="56">
        <v>799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E11" s="7">
        <v>993.5</v>
      </c>
      <c r="AF11" s="7">
        <v>993.5</v>
      </c>
      <c r="AG11" s="7">
        <v>1003.28</v>
      </c>
      <c r="AH11" s="56">
        <v>2</v>
      </c>
      <c r="AI11" s="84">
        <v>1037</v>
      </c>
      <c r="AJ11" s="84">
        <v>1031</v>
      </c>
      <c r="AK11" s="84">
        <v>1037</v>
      </c>
      <c r="AL11" s="84">
        <v>1046</v>
      </c>
      <c r="AM11" s="84">
        <v>1019</v>
      </c>
      <c r="AN11" s="84">
        <v>1008</v>
      </c>
      <c r="AO11" s="84">
        <v>999</v>
      </c>
      <c r="AP11" s="56">
        <v>990</v>
      </c>
      <c r="AQ11" s="100"/>
      <c r="AS11" s="55">
        <f>D37</f>
        <v>250</v>
      </c>
      <c r="AT11" s="71"/>
      <c r="AU11" s="8">
        <f>AV11</f>
        <v>2.2</v>
      </c>
      <c r="AV11" s="89">
        <f>AY11</f>
        <v>2.2</v>
      </c>
      <c r="AW11" s="89">
        <f>AY11</f>
        <v>2.2</v>
      </c>
      <c r="AX11" s="55"/>
      <c r="AY11" s="89">
        <v>2.2</v>
      </c>
      <c r="AZ11" s="89">
        <v>2.2</v>
      </c>
      <c r="BA11" s="89">
        <v>2.2</v>
      </c>
      <c r="BB11" s="89">
        <v>2.2</v>
      </c>
      <c r="BC11" s="89">
        <v>2.2</v>
      </c>
      <c r="BD11" s="8">
        <v>1.5</v>
      </c>
      <c r="BE11" s="8">
        <v>1.5</v>
      </c>
      <c r="BF11" s="8">
        <v>1.5</v>
      </c>
      <c r="BG11" s="89"/>
      <c r="BH11" s="71"/>
      <c r="BI11" s="57"/>
      <c r="BJ11" s="55"/>
      <c r="BM11" s="53"/>
    </row>
    <row r="12" spans="3:65" ht="14.25" customHeight="1">
      <c r="C12" s="128"/>
      <c r="D12" s="101">
        <v>988</v>
      </c>
      <c r="E12" s="84">
        <v>965</v>
      </c>
      <c r="F12" s="84">
        <v>979</v>
      </c>
      <c r="G12" s="56"/>
      <c r="H12" s="8">
        <v>-25.9</v>
      </c>
      <c r="I12" s="8">
        <v>-23.6</v>
      </c>
      <c r="J12" s="8">
        <v>-27</v>
      </c>
      <c r="K12" s="56">
        <v>3</v>
      </c>
      <c r="L12" s="8">
        <v>1016</v>
      </c>
      <c r="M12" s="8">
        <v>1012</v>
      </c>
      <c r="N12" s="129">
        <v>1005</v>
      </c>
      <c r="O12" s="8">
        <v>1015</v>
      </c>
      <c r="P12" s="8">
        <v>985</v>
      </c>
      <c r="Q12" s="8">
        <v>974</v>
      </c>
      <c r="R12" s="8">
        <v>910</v>
      </c>
      <c r="S12" s="56">
        <v>800</v>
      </c>
      <c r="U12" s="72"/>
      <c r="V12" s="72"/>
      <c r="W12" s="72"/>
      <c r="X12" s="72"/>
      <c r="Y12" s="72"/>
      <c r="Z12" s="72"/>
      <c r="AA12" s="72"/>
      <c r="AE12" s="7">
        <v>993.49</v>
      </c>
      <c r="AF12" s="7">
        <v>993.49</v>
      </c>
      <c r="AG12" s="7">
        <v>1003.32</v>
      </c>
      <c r="AH12" s="56">
        <v>3</v>
      </c>
      <c r="AI12" s="84">
        <v>1037</v>
      </c>
      <c r="AJ12" s="84">
        <v>1029</v>
      </c>
      <c r="AK12" s="84">
        <v>1036</v>
      </c>
      <c r="AL12" s="84">
        <v>1046</v>
      </c>
      <c r="AM12" s="84">
        <v>1019</v>
      </c>
      <c r="AN12" s="84">
        <v>1008</v>
      </c>
      <c r="AO12" s="84">
        <v>1001</v>
      </c>
      <c r="AP12" s="56">
        <v>991</v>
      </c>
      <c r="AQ12" s="100"/>
      <c r="AS12" s="55">
        <f>D65</f>
        <v>50</v>
      </c>
      <c r="AT12" s="71"/>
      <c r="AU12" s="8">
        <f>AV12</f>
        <v>3</v>
      </c>
      <c r="AV12" s="89">
        <f>AY12</f>
        <v>3</v>
      </c>
      <c r="AW12" s="89">
        <f>AY12</f>
        <v>3</v>
      </c>
      <c r="AX12" s="55"/>
      <c r="AY12" s="89">
        <v>3</v>
      </c>
      <c r="AZ12" s="89">
        <v>3</v>
      </c>
      <c r="BA12" s="89">
        <v>3</v>
      </c>
      <c r="BB12" s="89">
        <v>3</v>
      </c>
      <c r="BC12" s="89">
        <v>3</v>
      </c>
      <c r="BD12" s="89">
        <v>2.5</v>
      </c>
      <c r="BE12" s="89">
        <v>2.5</v>
      </c>
      <c r="BF12" s="89">
        <v>2.5</v>
      </c>
      <c r="BG12" s="89"/>
      <c r="BH12" s="71"/>
      <c r="BI12" s="57"/>
      <c r="BM12" s="53"/>
    </row>
    <row r="13" spans="3:61" ht="15">
      <c r="C13" s="128"/>
      <c r="D13" s="84">
        <v>988</v>
      </c>
      <c r="E13" s="84">
        <v>964</v>
      </c>
      <c r="F13" s="84">
        <v>980</v>
      </c>
      <c r="G13" s="56"/>
      <c r="H13" s="8">
        <v>-25.4</v>
      </c>
      <c r="I13" s="8">
        <v>-23.2</v>
      </c>
      <c r="J13" s="8">
        <v>-26.4</v>
      </c>
      <c r="K13" s="56">
        <v>4</v>
      </c>
      <c r="L13" s="8">
        <v>1016</v>
      </c>
      <c r="M13" s="8">
        <v>1013</v>
      </c>
      <c r="N13" s="129">
        <v>1007</v>
      </c>
      <c r="O13" s="8">
        <v>1015</v>
      </c>
      <c r="P13" s="8">
        <v>985</v>
      </c>
      <c r="Q13" s="8">
        <v>974</v>
      </c>
      <c r="R13" s="8">
        <v>912</v>
      </c>
      <c r="S13" s="56">
        <v>800</v>
      </c>
      <c r="U13" s="72"/>
      <c r="V13" s="72"/>
      <c r="W13" s="72"/>
      <c r="X13" s="72"/>
      <c r="Y13" s="72"/>
      <c r="Z13" s="72"/>
      <c r="AA13" s="72"/>
      <c r="AE13" s="7">
        <v>993.49</v>
      </c>
      <c r="AF13" s="7">
        <v>993.49</v>
      </c>
      <c r="AG13" s="7">
        <v>1003.3</v>
      </c>
      <c r="AH13" s="56">
        <v>4</v>
      </c>
      <c r="AI13" s="84">
        <v>1036</v>
      </c>
      <c r="AJ13" s="84">
        <v>1031</v>
      </c>
      <c r="AK13" s="84">
        <v>1036</v>
      </c>
      <c r="AL13" s="84">
        <v>1046</v>
      </c>
      <c r="AM13" s="84">
        <v>1018</v>
      </c>
      <c r="AN13" s="84">
        <v>1008</v>
      </c>
      <c r="AO13" s="84">
        <v>999</v>
      </c>
      <c r="AP13" s="56">
        <v>990</v>
      </c>
      <c r="AQ13" s="100"/>
      <c r="BG13" s="89"/>
      <c r="BH13" s="71"/>
      <c r="BI13" s="57"/>
    </row>
    <row r="14" spans="3:65" ht="15">
      <c r="C14" s="128"/>
      <c r="D14" s="84">
        <v>989</v>
      </c>
      <c r="E14" s="84">
        <v>965</v>
      </c>
      <c r="F14" s="84">
        <v>980</v>
      </c>
      <c r="G14" s="56"/>
      <c r="H14" s="8">
        <v>-25</v>
      </c>
      <c r="I14" s="8">
        <v>-25.2</v>
      </c>
      <c r="J14" s="8">
        <v>-25.8</v>
      </c>
      <c r="K14" s="56">
        <v>5</v>
      </c>
      <c r="L14" s="8">
        <v>1015</v>
      </c>
      <c r="M14" s="8">
        <v>1013</v>
      </c>
      <c r="N14" s="129">
        <v>1005</v>
      </c>
      <c r="O14" s="8">
        <v>1017</v>
      </c>
      <c r="P14" s="8">
        <v>985</v>
      </c>
      <c r="Q14" s="8">
        <v>974</v>
      </c>
      <c r="R14" s="8">
        <v>912</v>
      </c>
      <c r="S14" s="56">
        <v>801</v>
      </c>
      <c r="U14" s="72"/>
      <c r="V14" s="72"/>
      <c r="W14" s="72"/>
      <c r="X14" s="72"/>
      <c r="Y14" s="72"/>
      <c r="Z14" s="72"/>
      <c r="AA14" s="72"/>
      <c r="AE14" s="7">
        <v>993.49</v>
      </c>
      <c r="AF14" s="7">
        <v>993.49</v>
      </c>
      <c r="AG14" s="7">
        <v>1003.3</v>
      </c>
      <c r="AH14" s="56">
        <v>5</v>
      </c>
      <c r="AI14" s="84">
        <v>1036</v>
      </c>
      <c r="AJ14" s="84">
        <v>1029</v>
      </c>
      <c r="AK14" s="84">
        <v>1036</v>
      </c>
      <c r="AL14" s="84">
        <v>1048</v>
      </c>
      <c r="AM14" s="84">
        <v>1020</v>
      </c>
      <c r="AN14" s="84">
        <v>1009</v>
      </c>
      <c r="AO14" s="84">
        <v>999</v>
      </c>
      <c r="AP14" s="56">
        <v>989</v>
      </c>
      <c r="AQ14" s="100"/>
      <c r="AS14" s="55"/>
      <c r="AT14" s="71"/>
      <c r="AU14" s="71"/>
      <c r="AV14" s="89"/>
      <c r="AW14" s="89"/>
      <c r="AX14" s="55"/>
      <c r="AY14" s="89"/>
      <c r="AZ14" s="89"/>
      <c r="BA14" s="89"/>
      <c r="BB14" s="89"/>
      <c r="BC14" s="89"/>
      <c r="BD14" s="8"/>
      <c r="BE14" s="8"/>
      <c r="BF14" s="8"/>
      <c r="BG14" s="89"/>
      <c r="BH14" s="89"/>
      <c r="BI14" s="57"/>
      <c r="BJ14" s="55"/>
      <c r="BM14" s="53"/>
    </row>
    <row r="15" spans="3:59" ht="15">
      <c r="C15" s="128"/>
      <c r="D15" s="84">
        <v>989</v>
      </c>
      <c r="E15" s="84">
        <v>963</v>
      </c>
      <c r="F15" s="84">
        <v>979</v>
      </c>
      <c r="G15" s="56"/>
      <c r="H15" s="8">
        <v>-26.3</v>
      </c>
      <c r="I15" s="8">
        <v>-24.3</v>
      </c>
      <c r="J15" s="8">
        <v>-27.1</v>
      </c>
      <c r="K15" s="56">
        <v>6</v>
      </c>
      <c r="L15" s="8">
        <v>1016</v>
      </c>
      <c r="M15" s="129">
        <v>1012</v>
      </c>
      <c r="N15" s="129">
        <v>1005</v>
      </c>
      <c r="O15" s="8">
        <v>1017</v>
      </c>
      <c r="P15" s="8">
        <v>984</v>
      </c>
      <c r="Q15" s="8">
        <v>972</v>
      </c>
      <c r="R15" s="8">
        <v>912</v>
      </c>
      <c r="S15" s="56">
        <v>799</v>
      </c>
      <c r="U15" s="72"/>
      <c r="V15" s="72"/>
      <c r="W15" s="72"/>
      <c r="X15" s="72"/>
      <c r="Y15" s="72"/>
      <c r="Z15" s="72"/>
      <c r="AA15" s="72"/>
      <c r="AE15" s="7">
        <v>993.48</v>
      </c>
      <c r="AF15" s="7">
        <v>993.48</v>
      </c>
      <c r="AG15" s="7">
        <v>1003.3</v>
      </c>
      <c r="AH15" s="56">
        <v>6</v>
      </c>
      <c r="AI15" s="84">
        <v>1036</v>
      </c>
      <c r="AJ15" s="84">
        <v>1029</v>
      </c>
      <c r="AK15" s="84">
        <v>1036</v>
      </c>
      <c r="AL15" s="84">
        <v>1048</v>
      </c>
      <c r="AM15" s="84">
        <v>1019</v>
      </c>
      <c r="AN15" s="84">
        <v>1009</v>
      </c>
      <c r="AO15" s="84">
        <v>998</v>
      </c>
      <c r="AP15" s="56">
        <v>990</v>
      </c>
      <c r="AQ15" s="100"/>
      <c r="AT15" s="104" t="s">
        <v>68</v>
      </c>
      <c r="AU15" s="130">
        <f>(AU10/2)</f>
        <v>1.05</v>
      </c>
      <c r="AV15" s="130">
        <f aca="true" t="shared" si="3" ref="AV15:AW17">(AV10/2)</f>
        <v>1.05</v>
      </c>
      <c r="AW15" s="130">
        <f t="shared" si="3"/>
        <v>1.05</v>
      </c>
      <c r="AX15" s="92"/>
      <c r="AY15" s="36">
        <f>(AY10/2)</f>
        <v>1.05</v>
      </c>
      <c r="AZ15" s="36">
        <f aca="true" t="shared" si="4" ref="AZ15:BF15">(AZ10/2)</f>
        <v>1.05</v>
      </c>
      <c r="BA15" s="36">
        <f t="shared" si="4"/>
        <v>1.05</v>
      </c>
      <c r="BB15" s="36">
        <f t="shared" si="4"/>
        <v>1.05</v>
      </c>
      <c r="BC15" s="36">
        <f t="shared" si="4"/>
        <v>1.05</v>
      </c>
      <c r="BD15" s="36">
        <f t="shared" si="4"/>
        <v>0.65</v>
      </c>
      <c r="BE15" s="36">
        <f t="shared" si="4"/>
        <v>0.65</v>
      </c>
      <c r="BF15" s="36">
        <f t="shared" si="4"/>
        <v>0.65</v>
      </c>
      <c r="BG15" s="89"/>
    </row>
    <row r="16" spans="3:59" ht="15">
      <c r="C16" s="128"/>
      <c r="D16" s="84">
        <v>990</v>
      </c>
      <c r="E16" s="84">
        <v>965</v>
      </c>
      <c r="F16" s="84">
        <v>978</v>
      </c>
      <c r="G16" s="56"/>
      <c r="H16" s="8">
        <v>-22.7</v>
      </c>
      <c r="I16" s="8">
        <v>-23.6</v>
      </c>
      <c r="J16" s="8">
        <v>-29</v>
      </c>
      <c r="K16" s="56">
        <v>7</v>
      </c>
      <c r="L16" s="8">
        <v>1017</v>
      </c>
      <c r="M16" s="129">
        <v>1013</v>
      </c>
      <c r="N16" s="129">
        <v>1006</v>
      </c>
      <c r="O16" s="8">
        <v>1016</v>
      </c>
      <c r="P16" s="8">
        <v>985</v>
      </c>
      <c r="Q16" s="8">
        <v>972</v>
      </c>
      <c r="R16" s="8">
        <v>911</v>
      </c>
      <c r="S16" s="56">
        <v>801</v>
      </c>
      <c r="U16" s="72"/>
      <c r="V16" s="72"/>
      <c r="W16" s="72"/>
      <c r="X16" s="72"/>
      <c r="Y16" s="72"/>
      <c r="Z16" s="72"/>
      <c r="AA16" s="72"/>
      <c r="AE16" s="7">
        <v>993.5</v>
      </c>
      <c r="AF16" s="7">
        <v>993.5</v>
      </c>
      <c r="AG16" s="7">
        <v>1003.28</v>
      </c>
      <c r="AH16" s="56">
        <v>7</v>
      </c>
      <c r="AI16" s="84">
        <v>1038</v>
      </c>
      <c r="AJ16" s="84">
        <v>1030</v>
      </c>
      <c r="AK16" s="84">
        <v>1037</v>
      </c>
      <c r="AL16" s="84">
        <v>1047</v>
      </c>
      <c r="AM16" s="84">
        <v>1020</v>
      </c>
      <c r="AN16" s="84">
        <v>1009</v>
      </c>
      <c r="AO16" s="84">
        <v>998</v>
      </c>
      <c r="AP16" s="56">
        <v>990</v>
      </c>
      <c r="AQ16" s="100"/>
      <c r="AS16" s="55"/>
      <c r="AT16" s="71"/>
      <c r="AU16" s="130">
        <f>(AU11/2)</f>
        <v>1.1</v>
      </c>
      <c r="AV16" s="130">
        <f t="shared" si="3"/>
        <v>1.1</v>
      </c>
      <c r="AW16" s="130">
        <f t="shared" si="3"/>
        <v>1.1</v>
      </c>
      <c r="AX16" s="92"/>
      <c r="AY16" s="36">
        <f aca="true" t="shared" si="5" ref="AY16:BF17">(AY11/2)</f>
        <v>1.1</v>
      </c>
      <c r="AZ16" s="36">
        <f t="shared" si="5"/>
        <v>1.1</v>
      </c>
      <c r="BA16" s="36">
        <f t="shared" si="5"/>
        <v>1.1</v>
      </c>
      <c r="BB16" s="36">
        <f t="shared" si="5"/>
        <v>1.1</v>
      </c>
      <c r="BC16" s="36">
        <f t="shared" si="5"/>
        <v>1.1</v>
      </c>
      <c r="BD16" s="36">
        <f t="shared" si="5"/>
        <v>0.75</v>
      </c>
      <c r="BE16" s="36">
        <f t="shared" si="5"/>
        <v>0.75</v>
      </c>
      <c r="BF16" s="36">
        <f t="shared" si="5"/>
        <v>0.75</v>
      </c>
      <c r="BG16" s="89"/>
    </row>
    <row r="17" spans="3:58" ht="16.5" customHeight="1">
      <c r="C17" s="128"/>
      <c r="D17" s="84">
        <v>988</v>
      </c>
      <c r="E17" s="84">
        <v>964</v>
      </c>
      <c r="F17" s="84">
        <v>980</v>
      </c>
      <c r="G17" s="56"/>
      <c r="H17" s="8">
        <v>-23.5</v>
      </c>
      <c r="I17" s="8">
        <v>-24</v>
      </c>
      <c r="J17" s="8">
        <v>-26.8</v>
      </c>
      <c r="K17" s="56">
        <v>8</v>
      </c>
      <c r="L17" s="8">
        <v>1015</v>
      </c>
      <c r="M17" s="129">
        <v>1012</v>
      </c>
      <c r="N17" s="129">
        <v>1007</v>
      </c>
      <c r="O17" s="8">
        <v>1016</v>
      </c>
      <c r="P17" s="8">
        <v>985</v>
      </c>
      <c r="Q17" s="8">
        <v>973</v>
      </c>
      <c r="R17" s="8">
        <v>910</v>
      </c>
      <c r="S17" s="56">
        <v>800</v>
      </c>
      <c r="U17" s="72"/>
      <c r="V17" s="72"/>
      <c r="W17" s="72"/>
      <c r="X17" s="72"/>
      <c r="Y17" s="72"/>
      <c r="Z17" s="72"/>
      <c r="AA17" s="72"/>
      <c r="AE17" s="7">
        <v>993.49</v>
      </c>
      <c r="AF17" s="7">
        <v>993.49</v>
      </c>
      <c r="AG17" s="7">
        <v>1003.32</v>
      </c>
      <c r="AH17" s="56">
        <v>8</v>
      </c>
      <c r="AI17" s="84">
        <v>1037</v>
      </c>
      <c r="AJ17" s="84">
        <v>1030</v>
      </c>
      <c r="AK17" s="84">
        <v>1036</v>
      </c>
      <c r="AL17" s="84">
        <v>1048</v>
      </c>
      <c r="AM17" s="84">
        <v>1018</v>
      </c>
      <c r="AN17" s="84">
        <v>1007</v>
      </c>
      <c r="AO17" s="84">
        <v>999</v>
      </c>
      <c r="AP17" s="56">
        <v>991</v>
      </c>
      <c r="AQ17" s="100"/>
      <c r="AU17" s="130">
        <f>(AU12/2)</f>
        <v>1.5</v>
      </c>
      <c r="AV17" s="130">
        <f t="shared" si="3"/>
        <v>1.5</v>
      </c>
      <c r="AW17" s="130">
        <f t="shared" si="3"/>
        <v>1.5</v>
      </c>
      <c r="AX17" s="92"/>
      <c r="AY17" s="36">
        <f t="shared" si="5"/>
        <v>1.5</v>
      </c>
      <c r="AZ17" s="36">
        <f t="shared" si="5"/>
        <v>1.5</v>
      </c>
      <c r="BA17" s="36">
        <f t="shared" si="5"/>
        <v>1.5</v>
      </c>
      <c r="BB17" s="36">
        <f t="shared" si="5"/>
        <v>1.5</v>
      </c>
      <c r="BC17" s="36">
        <f t="shared" si="5"/>
        <v>1.5</v>
      </c>
      <c r="BD17" s="36">
        <f t="shared" si="5"/>
        <v>1.25</v>
      </c>
      <c r="BE17" s="36">
        <f t="shared" si="5"/>
        <v>1.25</v>
      </c>
      <c r="BF17" s="36">
        <f t="shared" si="5"/>
        <v>1.25</v>
      </c>
    </row>
    <row r="18" spans="3:61" ht="16.5" customHeight="1">
      <c r="C18" s="128"/>
      <c r="D18" s="84">
        <v>990</v>
      </c>
      <c r="E18" s="84">
        <v>965</v>
      </c>
      <c r="F18" s="84">
        <v>980</v>
      </c>
      <c r="G18" s="56"/>
      <c r="H18" s="8">
        <v>-24.2</v>
      </c>
      <c r="I18" s="8">
        <v>-22.9</v>
      </c>
      <c r="J18" s="8">
        <v>-30.2</v>
      </c>
      <c r="K18" s="56">
        <v>9</v>
      </c>
      <c r="L18" s="8">
        <v>1016</v>
      </c>
      <c r="M18" s="129">
        <v>1011</v>
      </c>
      <c r="N18" s="129">
        <v>1005</v>
      </c>
      <c r="O18" s="8">
        <v>1016</v>
      </c>
      <c r="P18" s="8">
        <v>985</v>
      </c>
      <c r="Q18" s="8">
        <v>972</v>
      </c>
      <c r="R18" s="8">
        <v>911</v>
      </c>
      <c r="S18" s="56">
        <v>800</v>
      </c>
      <c r="U18" s="72"/>
      <c r="V18" s="72"/>
      <c r="W18" s="72"/>
      <c r="X18" s="72"/>
      <c r="Y18" s="72"/>
      <c r="Z18" s="72"/>
      <c r="AA18" s="72"/>
      <c r="AE18" s="7">
        <v>993.49</v>
      </c>
      <c r="AF18" s="7">
        <v>993.49</v>
      </c>
      <c r="AG18" s="7">
        <v>1003.3</v>
      </c>
      <c r="AH18" s="56">
        <v>9</v>
      </c>
      <c r="AI18" s="84">
        <v>1037</v>
      </c>
      <c r="AJ18" s="84">
        <v>1029</v>
      </c>
      <c r="AK18" s="84">
        <v>1036</v>
      </c>
      <c r="AL18" s="84">
        <v>1047</v>
      </c>
      <c r="AM18" s="84">
        <v>1019</v>
      </c>
      <c r="AN18" s="84">
        <v>1009</v>
      </c>
      <c r="AO18" s="84">
        <v>998</v>
      </c>
      <c r="AP18" s="56">
        <v>990</v>
      </c>
      <c r="AQ18" s="100"/>
      <c r="AX18" s="55"/>
      <c r="BI18" s="57"/>
    </row>
    <row r="19" spans="3:60" ht="15">
      <c r="C19" s="128"/>
      <c r="D19" s="84">
        <v>988</v>
      </c>
      <c r="E19" s="84">
        <v>965</v>
      </c>
      <c r="F19" s="84">
        <v>979</v>
      </c>
      <c r="G19" s="56"/>
      <c r="H19" s="8">
        <v>-26.1</v>
      </c>
      <c r="I19" s="8">
        <v>-24.2</v>
      </c>
      <c r="J19" s="8">
        <v>-28</v>
      </c>
      <c r="K19" s="56">
        <v>10</v>
      </c>
      <c r="L19" s="8">
        <v>1017</v>
      </c>
      <c r="M19" s="129">
        <v>1012</v>
      </c>
      <c r="N19" s="129">
        <v>1006</v>
      </c>
      <c r="O19" s="8">
        <v>1017</v>
      </c>
      <c r="P19" s="8">
        <v>985</v>
      </c>
      <c r="Q19" s="8">
        <v>973</v>
      </c>
      <c r="R19" s="8">
        <v>911</v>
      </c>
      <c r="S19" s="56">
        <v>801</v>
      </c>
      <c r="U19" s="72"/>
      <c r="V19" s="72"/>
      <c r="W19" s="72"/>
      <c r="X19" s="72"/>
      <c r="Y19" s="72"/>
      <c r="Z19" s="72"/>
      <c r="AA19" s="72"/>
      <c r="AE19" s="7">
        <v>993.49</v>
      </c>
      <c r="AF19" s="7">
        <v>993.49</v>
      </c>
      <c r="AG19" s="7">
        <v>1003.3</v>
      </c>
      <c r="AH19" s="56">
        <v>10</v>
      </c>
      <c r="AI19" s="84">
        <v>1038</v>
      </c>
      <c r="AJ19" s="84">
        <v>1031</v>
      </c>
      <c r="AK19" s="84">
        <v>1036</v>
      </c>
      <c r="AL19" s="84">
        <v>1048</v>
      </c>
      <c r="AM19" s="84">
        <v>1019</v>
      </c>
      <c r="AN19" s="84">
        <v>1008</v>
      </c>
      <c r="AO19" s="84">
        <v>1000</v>
      </c>
      <c r="AP19" s="56">
        <v>989</v>
      </c>
      <c r="AQ19" s="100"/>
      <c r="AV19" s="92"/>
      <c r="AX19" s="55"/>
      <c r="BG19" s="92"/>
      <c r="BH19" s="92"/>
    </row>
    <row r="20" spans="3:60" ht="15">
      <c r="C20" s="53" t="s">
        <v>43</v>
      </c>
      <c r="D20" s="131">
        <f>AVERAGE(D10:D19)</f>
        <v>988.7</v>
      </c>
      <c r="E20" s="131">
        <f>AVERAGE(E10:E19)</f>
        <v>964.5</v>
      </c>
      <c r="F20" s="131">
        <f>AVERAGE(F10:F19)</f>
        <v>979.1</v>
      </c>
      <c r="G20" s="56"/>
      <c r="H20" s="132">
        <f>AVERAGE(H10:H19)</f>
        <v>-24.9</v>
      </c>
      <c r="I20" s="132">
        <f>AVERAGE(I10:I19)</f>
        <v>-24.4</v>
      </c>
      <c r="J20" s="132">
        <f>AVERAGE(J10:J19)</f>
        <v>-27.720000000000006</v>
      </c>
      <c r="K20" s="56"/>
      <c r="L20" s="132">
        <f>AVERAGE(L10:L19)</f>
        <v>1016.1</v>
      </c>
      <c r="M20" s="132">
        <f aca="true" t="shared" si="6" ref="M20:S20">AVERAGE(M10:M19)</f>
        <v>1012.2</v>
      </c>
      <c r="N20" s="132">
        <f t="shared" si="6"/>
        <v>1005.6</v>
      </c>
      <c r="O20" s="132">
        <f t="shared" si="6"/>
        <v>1016.2</v>
      </c>
      <c r="P20" s="132">
        <f t="shared" si="6"/>
        <v>984.9</v>
      </c>
      <c r="Q20" s="132">
        <f t="shared" si="6"/>
        <v>973.2</v>
      </c>
      <c r="R20" s="132">
        <f t="shared" si="6"/>
        <v>911.3</v>
      </c>
      <c r="S20" s="132">
        <f t="shared" si="6"/>
        <v>800</v>
      </c>
      <c r="T20" s="133"/>
      <c r="U20" s="132">
        <f>AVERAGE(U10:U19)</f>
        <v>0</v>
      </c>
      <c r="V20" s="132">
        <f aca="true" t="shared" si="7" ref="V20:AB20">AVERAGE(V10:V19)</f>
        <v>0</v>
      </c>
      <c r="W20" s="132">
        <f t="shared" si="7"/>
        <v>0</v>
      </c>
      <c r="X20" s="132">
        <f t="shared" si="7"/>
        <v>0</v>
      </c>
      <c r="Y20" s="132">
        <f t="shared" si="7"/>
        <v>0</v>
      </c>
      <c r="Z20" s="132">
        <f t="shared" si="7"/>
        <v>0</v>
      </c>
      <c r="AA20" s="132">
        <f t="shared" si="7"/>
        <v>0</v>
      </c>
      <c r="AB20" s="132">
        <f t="shared" si="7"/>
        <v>0</v>
      </c>
      <c r="AE20" s="134">
        <f>AVERAGE(AE10:AE19)</f>
        <v>993.49</v>
      </c>
      <c r="AF20" s="134">
        <f>AVERAGE(AF10:AF19)</f>
        <v>993.49</v>
      </c>
      <c r="AG20" s="134">
        <f>AVERAGE(AG10:AG19)</f>
        <v>1003.2999999999998</v>
      </c>
      <c r="AI20" s="132">
        <f aca="true" t="shared" si="8" ref="AI20:AP20">AVERAGE(AI10:AI19)</f>
        <v>1036.9</v>
      </c>
      <c r="AJ20" s="132">
        <f t="shared" si="8"/>
        <v>1029.9</v>
      </c>
      <c r="AK20" s="132">
        <f t="shared" si="8"/>
        <v>1036.3</v>
      </c>
      <c r="AL20" s="132">
        <f t="shared" si="8"/>
        <v>1047</v>
      </c>
      <c r="AM20" s="132">
        <f t="shared" si="8"/>
        <v>1018.9</v>
      </c>
      <c r="AN20" s="132">
        <f t="shared" si="8"/>
        <v>1008.2</v>
      </c>
      <c r="AO20" s="132">
        <f t="shared" si="8"/>
        <v>998.9</v>
      </c>
      <c r="AP20" s="132">
        <f t="shared" si="8"/>
        <v>990</v>
      </c>
      <c r="AQ20" s="135"/>
      <c r="AT20" s="136" t="s">
        <v>63</v>
      </c>
      <c r="AU20" s="53"/>
      <c r="AV20" s="92"/>
      <c r="AX20" s="55"/>
      <c r="BG20" s="92"/>
      <c r="BH20" s="92"/>
    </row>
    <row r="21" spans="3:60" ht="15">
      <c r="C21" s="53" t="s">
        <v>12</v>
      </c>
      <c r="D21" s="7">
        <f>STDEV(D10:D19)/3.16</f>
        <v>0.26052930454068496</v>
      </c>
      <c r="E21" s="7">
        <f>STDEV(E10:E19)/3.16</f>
        <v>0.2237679687299201</v>
      </c>
      <c r="F21" s="7">
        <f>STDEV(F10:F19)/3.16</f>
        <v>0.27708703663636486</v>
      </c>
      <c r="G21" s="56"/>
      <c r="H21" s="7">
        <f>STDEV(H10:H19)/3.16</f>
        <v>0.36844407587706435</v>
      </c>
      <c r="I21" s="7">
        <f>STDEV(I10:I19)/3.16</f>
        <v>0.4302970053664722</v>
      </c>
      <c r="J21" s="7">
        <f>STDEV(J10:J19)/3.16</f>
        <v>0.43127853531719307</v>
      </c>
      <c r="K21" s="56"/>
      <c r="L21" s="10">
        <f>STDEV(L10:L19)/3.16</f>
        <v>0.233501514991336</v>
      </c>
      <c r="M21" s="10">
        <f aca="true" t="shared" si="9" ref="M21:S21">STDEV(M10:M19)/3.16</f>
        <v>0.24962361954006815</v>
      </c>
      <c r="N21" s="10">
        <f t="shared" si="9"/>
        <v>0.26685887427581256</v>
      </c>
      <c r="O21" s="10">
        <f t="shared" si="9"/>
        <v>0.2496236195400682</v>
      </c>
      <c r="P21" s="10">
        <f t="shared" si="9"/>
        <v>0.17963487727770466</v>
      </c>
      <c r="Q21" s="10">
        <f t="shared" si="9"/>
        <v>0.2908027162888232</v>
      </c>
      <c r="R21" s="10">
        <f t="shared" si="9"/>
        <v>0.26052930454068496</v>
      </c>
      <c r="S21" s="10">
        <f t="shared" si="9"/>
        <v>0.25838499396447023</v>
      </c>
      <c r="T21" s="92"/>
      <c r="U21" s="10">
        <f>STDEV(U10:U19)/3.16</f>
        <v>0</v>
      </c>
      <c r="V21" s="10">
        <f aca="true" t="shared" si="10" ref="V21:AB21">STDEV(V10:V19)/3.16</f>
        <v>0</v>
      </c>
      <c r="W21" s="10">
        <f t="shared" si="10"/>
        <v>0</v>
      </c>
      <c r="X21" s="10">
        <f t="shared" si="10"/>
        <v>0</v>
      </c>
      <c r="Y21" s="10">
        <f t="shared" si="10"/>
        <v>0</v>
      </c>
      <c r="Z21" s="10">
        <f t="shared" si="10"/>
        <v>0</v>
      </c>
      <c r="AA21" s="10">
        <f t="shared" si="10"/>
        <v>0</v>
      </c>
      <c r="AB21" s="10">
        <f t="shared" si="10"/>
        <v>0</v>
      </c>
      <c r="AE21" s="9">
        <f>STDEV(AE10:AE19)/3.16</f>
        <v>0.002109704641348292</v>
      </c>
      <c r="AF21" s="9">
        <f>STDEV(AF10:AF19)/3.16</f>
        <v>0.002109704641348292</v>
      </c>
      <c r="AG21" s="9">
        <f>STDEV(AG10:AG19)/3.16</f>
        <v>0.0042194092827085765</v>
      </c>
      <c r="AI21" s="10">
        <f aca="true" t="shared" si="11" ref="AI21:AP21">STDEV(AI10:AI19)/3.16</f>
        <v>0.233501514991336</v>
      </c>
      <c r="AJ21" s="10">
        <f t="shared" si="11"/>
        <v>0.2770870366363649</v>
      </c>
      <c r="AK21" s="10">
        <f t="shared" si="11"/>
        <v>0.15286262390495187</v>
      </c>
      <c r="AL21" s="10">
        <f t="shared" si="11"/>
        <v>0.29835729163989344</v>
      </c>
      <c r="AM21" s="10">
        <f t="shared" si="11"/>
        <v>0.233501514991336</v>
      </c>
      <c r="AN21" s="10">
        <f t="shared" si="11"/>
        <v>0.2496236195400682</v>
      </c>
      <c r="AO21" s="10">
        <f t="shared" si="11"/>
        <v>0.3146926981049852</v>
      </c>
      <c r="AP21" s="10">
        <f t="shared" si="11"/>
        <v>0.21097046413502107</v>
      </c>
      <c r="AQ21" s="137"/>
      <c r="AT21" s="53" t="s">
        <v>57</v>
      </c>
      <c r="AU21" s="130">
        <f>F134/2/1000*(AU$9/100)^(-3/2)</f>
        <v>0.4996951419096808</v>
      </c>
      <c r="AV21" s="130">
        <f>G134/2/1000*(AV$9/100)^(-3/2)</f>
        <v>0.4875429540137393</v>
      </c>
      <c r="AW21" s="130">
        <f>H134/2/1000*(AW$9/100)^(-3/2)</f>
        <v>0.4899066863098508</v>
      </c>
      <c r="AX21" s="92"/>
      <c r="AY21" s="36">
        <f aca="true" t="shared" si="12" ref="AY21:BF21">J134/2/1000*(AY$9/100)^(-3/2)</f>
        <v>0.491811491014918</v>
      </c>
      <c r="AZ21" s="36">
        <f t="shared" si="12"/>
        <v>0.49336849226302487</v>
      </c>
      <c r="BA21" s="36">
        <f t="shared" si="12"/>
        <v>0.4868391321903187</v>
      </c>
      <c r="BB21" s="36">
        <f t="shared" si="12"/>
        <v>0.4867889063436056</v>
      </c>
      <c r="BC21" s="36">
        <f t="shared" si="12"/>
        <v>0.4851816792487855</v>
      </c>
      <c r="BD21" s="36">
        <f t="shared" si="12"/>
        <v>0.4846794207816543</v>
      </c>
      <c r="BE21" s="36">
        <f t="shared" si="12"/>
        <v>0.4603368105191586</v>
      </c>
      <c r="BF21" s="36">
        <f t="shared" si="12"/>
        <v>0.4086725301627778</v>
      </c>
      <c r="BG21" s="92"/>
      <c r="BH21" s="92"/>
    </row>
    <row r="22" spans="4:58" ht="12.75" customHeight="1">
      <c r="D22" s="84"/>
      <c r="G22" s="56"/>
      <c r="H22" s="8"/>
      <c r="I22" s="8"/>
      <c r="J22" s="8"/>
      <c r="K22" s="56"/>
      <c r="U22" s="8"/>
      <c r="AQ22" s="100"/>
      <c r="AT22" s="53" t="s">
        <v>58</v>
      </c>
      <c r="AU22" s="130">
        <f>F136/2/1000*(AU$9/100)^(-3/2)</f>
        <v>0.4997559428784157</v>
      </c>
      <c r="AV22" s="130">
        <f>G136/2/1000*(AV$9/100)^(-3/2)</f>
        <v>0.48755608857684074</v>
      </c>
      <c r="AW22" s="130">
        <f>H136/2/1000*(AW$9/100)^(-3/2)</f>
        <v>0.4663290957783759</v>
      </c>
      <c r="AX22" s="92"/>
      <c r="AY22" s="36">
        <f aca="true" t="shared" si="13" ref="AY22:BF22">J136/2/1000*(AY$9/100)^(-3/2)</f>
        <v>0.48960155375954056</v>
      </c>
      <c r="AZ22" s="36">
        <f t="shared" si="13"/>
        <v>0.49271555625575425</v>
      </c>
      <c r="BA22" s="36">
        <f t="shared" si="13"/>
        <v>0.4864373254166137</v>
      </c>
      <c r="BB22" s="36">
        <f t="shared" si="13"/>
        <v>0.48854681097856495</v>
      </c>
      <c r="BC22" s="36">
        <f t="shared" si="13"/>
        <v>0.48618619618304804</v>
      </c>
      <c r="BD22" s="36">
        <f t="shared" si="13"/>
        <v>0.4812138373584487</v>
      </c>
      <c r="BE22" s="36">
        <f t="shared" si="13"/>
        <v>0.46280902705964955</v>
      </c>
      <c r="BF22" s="36">
        <f t="shared" si="13"/>
        <v>0.40857162336520675</v>
      </c>
    </row>
    <row r="23" spans="3:60" ht="12.75" customHeight="1">
      <c r="C23" s="128" t="s">
        <v>58</v>
      </c>
      <c r="D23" s="138">
        <f aca="true" ca="1" t="shared" si="14" ref="D23:F32">ROUND(RAND()*(D$17-D$18)+D$18,D$16)</f>
        <v>989.872352281586</v>
      </c>
      <c r="E23" s="138">
        <f ca="1" t="shared" si="14"/>
        <v>964.716078984553</v>
      </c>
      <c r="F23" s="138">
        <f ca="1" t="shared" si="14"/>
        <v>980</v>
      </c>
      <c r="G23" s="56"/>
      <c r="H23" s="8">
        <v>-24.9</v>
      </c>
      <c r="I23" s="72">
        <v>-26.7</v>
      </c>
      <c r="J23" s="8">
        <v>-27</v>
      </c>
      <c r="K23" s="56">
        <v>1</v>
      </c>
      <c r="L23" s="8">
        <v>1012</v>
      </c>
      <c r="M23" s="8">
        <v>1012</v>
      </c>
      <c r="N23" s="8">
        <v>1004</v>
      </c>
      <c r="O23" s="8">
        <v>1019</v>
      </c>
      <c r="P23" s="8">
        <v>988</v>
      </c>
      <c r="Q23" s="8">
        <v>966</v>
      </c>
      <c r="R23" s="8">
        <v>915</v>
      </c>
      <c r="S23" s="56">
        <v>800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Q23" s="100"/>
      <c r="AT23" s="53" t="s">
        <v>57</v>
      </c>
      <c r="AU23" s="130">
        <f>F138/2/1000*(AU$9/100)^(-3/2)</f>
        <v>0.0996525853974811</v>
      </c>
      <c r="AV23" s="130">
        <f>G138/2/1000*(AV$9/100)^(-3/2)</f>
        <v>0.096990908217021</v>
      </c>
      <c r="AW23" s="130">
        <f>H138/2/1000*(AW$9/100)^(-3/2)</f>
        <v>0.22308789334134452</v>
      </c>
      <c r="AX23" s="92"/>
      <c r="AY23" s="36">
        <f aca="true" t="shared" si="15" ref="AY23:BF23">J138/2/1000*(AY$9/100)^(-3/2)</f>
        <v>0.12326427300335088</v>
      </c>
      <c r="AZ23" s="36">
        <f t="shared" si="15"/>
        <v>0.12334965694276322</v>
      </c>
      <c r="BA23" s="36">
        <f t="shared" si="15"/>
        <v>0.12153148129174807</v>
      </c>
      <c r="BB23" s="36">
        <f t="shared" si="15"/>
        <v>0.12009502207575272</v>
      </c>
      <c r="BC23" s="36">
        <f t="shared" si="15"/>
        <v>0.1207680484217086</v>
      </c>
      <c r="BD23" s="36">
        <f t="shared" si="15"/>
        <v>0.12185292671071209</v>
      </c>
      <c r="BE23" s="36">
        <f t="shared" si="15"/>
        <v>0.11674916478971208</v>
      </c>
      <c r="BF23" s="36">
        <f t="shared" si="15"/>
        <v>0.09858594122692196</v>
      </c>
      <c r="BG23" s="92"/>
      <c r="BH23" s="59"/>
    </row>
    <row r="24" spans="3:60" ht="12.75" customHeight="1">
      <c r="C24" s="128"/>
      <c r="D24" s="138">
        <f ca="1" t="shared" si="14"/>
        <v>988.513105855753</v>
      </c>
      <c r="E24" s="138">
        <f ca="1" t="shared" si="14"/>
        <v>964.246357762012</v>
      </c>
      <c r="F24" s="138">
        <f ca="1" t="shared" si="14"/>
        <v>980</v>
      </c>
      <c r="G24" s="61"/>
      <c r="H24" s="72">
        <v>-28.5</v>
      </c>
      <c r="I24" s="72">
        <v>-24.1</v>
      </c>
      <c r="J24" s="8">
        <v>-27.8</v>
      </c>
      <c r="K24" s="56">
        <v>2</v>
      </c>
      <c r="L24" s="8">
        <v>1011</v>
      </c>
      <c r="M24" s="8">
        <v>1012</v>
      </c>
      <c r="N24" s="8">
        <v>1004</v>
      </c>
      <c r="O24" s="8">
        <v>1020</v>
      </c>
      <c r="P24" s="8">
        <v>988</v>
      </c>
      <c r="Q24" s="8">
        <v>965</v>
      </c>
      <c r="R24" s="8">
        <v>915</v>
      </c>
      <c r="S24" s="56">
        <v>801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Q24" s="100"/>
      <c r="AT24" s="53" t="s">
        <v>58</v>
      </c>
      <c r="AU24" s="130">
        <f>F140/2/1000*(AU$9/100)^(-3/2)</f>
        <v>0.0988340752163995</v>
      </c>
      <c r="AV24" s="130">
        <f>G140/2/1000*(AV$9/100)^(-3/2)</f>
        <v>0.09601761007505974</v>
      </c>
      <c r="AW24" s="130">
        <f>H140/2/1000*(AW$9/100)^(-3/2)</f>
        <v>0.09669924184167004</v>
      </c>
      <c r="AX24" s="92"/>
      <c r="AY24" s="36">
        <f aca="true" t="shared" si="16" ref="AY24:BF24">J140/2/1000*(AY$9/100)^(-3/2)</f>
        <v>0.12316382130992463</v>
      </c>
      <c r="AZ24" s="36">
        <f t="shared" si="16"/>
        <v>0.1231487535559107</v>
      </c>
      <c r="BA24" s="36">
        <f t="shared" si="16"/>
        <v>0.12173238467860058</v>
      </c>
      <c r="BB24" s="36">
        <f t="shared" si="16"/>
        <v>0.12059728054288396</v>
      </c>
      <c r="BC24" s="36">
        <f t="shared" si="16"/>
        <v>0.12096895180856111</v>
      </c>
      <c r="BD24" s="36">
        <f t="shared" si="16"/>
        <v>0.1196429894553346</v>
      </c>
      <c r="BE24" s="36">
        <f t="shared" si="16"/>
        <v>0.11473102883829096</v>
      </c>
      <c r="BF24" s="36">
        <f t="shared" si="16"/>
        <v>0.09475148291922184</v>
      </c>
      <c r="BG24" s="92"/>
      <c r="BH24" s="59"/>
    </row>
    <row r="25" spans="3:60" ht="12.75" customHeight="1">
      <c r="C25" s="128"/>
      <c r="D25" s="138">
        <f ca="1" t="shared" si="14"/>
        <v>989.87559027305</v>
      </c>
      <c r="E25" s="138">
        <f ca="1" t="shared" si="14"/>
        <v>964.732892088723</v>
      </c>
      <c r="F25" s="138">
        <f ca="1" t="shared" si="14"/>
        <v>980</v>
      </c>
      <c r="G25" s="61"/>
      <c r="H25" s="72">
        <v>-27.3</v>
      </c>
      <c r="I25" s="72">
        <v>-28.3</v>
      </c>
      <c r="J25" s="8">
        <v>-26.8</v>
      </c>
      <c r="K25" s="56">
        <v>3</v>
      </c>
      <c r="L25" s="8">
        <v>1012</v>
      </c>
      <c r="M25" s="8">
        <v>1010</v>
      </c>
      <c r="N25" s="8">
        <v>1005</v>
      </c>
      <c r="O25" s="8">
        <v>1019</v>
      </c>
      <c r="P25" s="8">
        <v>986</v>
      </c>
      <c r="Q25" s="8">
        <v>967</v>
      </c>
      <c r="R25" s="8">
        <v>917</v>
      </c>
      <c r="S25" s="56">
        <v>799</v>
      </c>
      <c r="U25" s="72"/>
      <c r="V25" s="72"/>
      <c r="W25" s="72"/>
      <c r="X25" s="72"/>
      <c r="Y25" s="72"/>
      <c r="Z25" s="72"/>
      <c r="AA25" s="72"/>
      <c r="AQ25" s="100"/>
      <c r="AT25" s="53" t="s">
        <v>57</v>
      </c>
      <c r="AU25" s="130">
        <f>F142/2/1000*(AU$9/100)^(-3/2)</f>
        <v>0.024451893417673985</v>
      </c>
      <c r="AV25" s="130">
        <f>G142/2/1000*(AV$9/100)^(-3/2)</f>
        <v>0.024271902166252</v>
      </c>
      <c r="AW25" s="130">
        <f>H142/2/1000*(AW$9/100)^(-3/2)</f>
        <v>0.04896123169536804</v>
      </c>
      <c r="AX25" s="92"/>
      <c r="AY25" s="36">
        <f aca="true" t="shared" si="17" ref="AY25:BF25">J142/2/1000*(AY$9/100)^(-3/2)</f>
        <v>0.024693537536507812</v>
      </c>
      <c r="AZ25" s="36">
        <f t="shared" si="17"/>
        <v>0.024680981074829526</v>
      </c>
      <c r="BA25" s="36">
        <f t="shared" si="17"/>
        <v>0.024331911440173312</v>
      </c>
      <c r="BB25" s="36">
        <f t="shared" si="17"/>
        <v>0.024134523862590726</v>
      </c>
      <c r="BC25" s="36">
        <f t="shared" si="17"/>
        <v>0.023984348580918483</v>
      </c>
      <c r="BD25" s="36">
        <f t="shared" si="17"/>
        <v>0.024038090236901535</v>
      </c>
      <c r="BE25" s="36">
        <f t="shared" si="17"/>
        <v>0.022775168745775256</v>
      </c>
      <c r="BF25" s="36">
        <f t="shared" si="17"/>
        <v>0.01896543260348002</v>
      </c>
      <c r="BG25" s="92"/>
      <c r="BH25" s="57"/>
    </row>
    <row r="26" spans="3:60" ht="15">
      <c r="C26" s="128"/>
      <c r="D26" s="138">
        <f ca="1" t="shared" si="14"/>
        <v>988.086227835966</v>
      </c>
      <c r="E26" s="138">
        <f ca="1" t="shared" si="14"/>
        <v>964.657240012648</v>
      </c>
      <c r="F26" s="138">
        <f ca="1" t="shared" si="14"/>
        <v>980</v>
      </c>
      <c r="G26" s="61"/>
      <c r="H26" s="72">
        <v>-27.1</v>
      </c>
      <c r="I26" s="72">
        <v>-25.3</v>
      </c>
      <c r="J26" s="8">
        <v>-27.2</v>
      </c>
      <c r="K26" s="56">
        <v>4</v>
      </c>
      <c r="L26" s="72">
        <v>1013</v>
      </c>
      <c r="M26" s="8">
        <v>1010</v>
      </c>
      <c r="N26" s="8">
        <v>1004</v>
      </c>
      <c r="O26" s="8">
        <v>1019</v>
      </c>
      <c r="P26" s="8">
        <v>988</v>
      </c>
      <c r="Q26" s="8">
        <v>966</v>
      </c>
      <c r="R26" s="8">
        <v>916</v>
      </c>
      <c r="S26" s="56">
        <v>801</v>
      </c>
      <c r="U26" s="72"/>
      <c r="V26" s="72"/>
      <c r="W26" s="72"/>
      <c r="X26" s="72"/>
      <c r="Y26" s="72"/>
      <c r="Z26" s="72"/>
      <c r="AA26" s="72"/>
      <c r="AQ26" s="100"/>
      <c r="AT26" s="53" t="s">
        <v>58</v>
      </c>
      <c r="AU26" s="130">
        <f>F144/2/1000*(AU$9/100)^(-3/2)</f>
        <v>0.024550808314520747</v>
      </c>
      <c r="AV26" s="130">
        <f>G144/2/1000*(AV$9/100)^(-3/2)</f>
        <v>0.023966636709846483</v>
      </c>
      <c r="AW26" s="130">
        <f>H144/2/1000*(AW$9/100)^(-3/2)</f>
        <v>0.0246834140568262</v>
      </c>
      <c r="AX26" s="92"/>
      <c r="AY26" s="36">
        <f aca="true" t="shared" si="18" ref="AY26:BF26">J144/2/1000*(AY$9/100)^(-3/2)</f>
        <v>0.02473371821387831</v>
      </c>
      <c r="AZ26" s="36">
        <f t="shared" si="18"/>
        <v>0.02465586815147296</v>
      </c>
      <c r="BA26" s="36">
        <f t="shared" si="18"/>
        <v>0.024387159871557748</v>
      </c>
      <c r="BB26" s="36">
        <f t="shared" si="18"/>
        <v>0.02415461420127598</v>
      </c>
      <c r="BC26" s="36">
        <f t="shared" si="18"/>
        <v>0.024099868028358673</v>
      </c>
      <c r="BD26" s="36">
        <f t="shared" si="18"/>
        <v>0.023555922108455533</v>
      </c>
      <c r="BE26" s="36">
        <f t="shared" si="18"/>
        <v>0.022154591940713255</v>
      </c>
      <c r="BF26" s="36">
        <f t="shared" si="18"/>
        <v>0.01818340492230433</v>
      </c>
      <c r="BG26" s="92"/>
      <c r="BH26" s="57"/>
    </row>
    <row r="27" spans="3:60" ht="15">
      <c r="C27" s="128"/>
      <c r="D27" s="138">
        <f ca="1" t="shared" si="14"/>
        <v>988.780747215884</v>
      </c>
      <c r="E27" s="138">
        <f ca="1" t="shared" si="14"/>
        <v>964.642280172415</v>
      </c>
      <c r="F27" s="138">
        <f ca="1" t="shared" si="14"/>
        <v>980</v>
      </c>
      <c r="G27" s="61"/>
      <c r="H27" s="72">
        <v>-28.9</v>
      </c>
      <c r="I27" s="72">
        <v>-24.9</v>
      </c>
      <c r="J27" s="8">
        <v>-27.1</v>
      </c>
      <c r="K27" s="56">
        <v>5</v>
      </c>
      <c r="L27" s="72">
        <v>1011</v>
      </c>
      <c r="M27" s="8">
        <v>1012</v>
      </c>
      <c r="N27" s="8">
        <v>1005</v>
      </c>
      <c r="O27" s="8">
        <v>1019</v>
      </c>
      <c r="P27" s="8">
        <v>986</v>
      </c>
      <c r="Q27" s="8">
        <v>966</v>
      </c>
      <c r="R27" s="8">
        <v>917</v>
      </c>
      <c r="S27" s="56">
        <v>800</v>
      </c>
      <c r="U27" s="72"/>
      <c r="V27" s="72"/>
      <c r="W27" s="72"/>
      <c r="X27" s="72"/>
      <c r="Y27" s="72"/>
      <c r="Z27" s="72"/>
      <c r="AA27" s="72"/>
      <c r="AQ27" s="100"/>
      <c r="AX27" s="55"/>
      <c r="BG27" s="92"/>
      <c r="BH27" s="59"/>
    </row>
    <row r="28" spans="3:60" ht="15">
      <c r="C28" s="128"/>
      <c r="D28" s="138">
        <f ca="1" t="shared" si="14"/>
        <v>988.834872940655</v>
      </c>
      <c r="E28" s="138">
        <f ca="1" t="shared" si="14"/>
        <v>964.274006905199</v>
      </c>
      <c r="F28" s="138">
        <f ca="1" t="shared" si="14"/>
        <v>980</v>
      </c>
      <c r="G28" s="61"/>
      <c r="H28" s="72">
        <v>-26.9</v>
      </c>
      <c r="I28" s="72">
        <v>-23.7</v>
      </c>
      <c r="J28" s="8">
        <v>-28</v>
      </c>
      <c r="K28" s="56">
        <v>6</v>
      </c>
      <c r="L28" s="8">
        <v>1011</v>
      </c>
      <c r="M28" s="8">
        <v>1010</v>
      </c>
      <c r="N28" s="8">
        <v>1006</v>
      </c>
      <c r="O28" s="8">
        <v>1020</v>
      </c>
      <c r="P28" s="8">
        <v>987</v>
      </c>
      <c r="Q28" s="8">
        <v>967</v>
      </c>
      <c r="R28" s="8">
        <v>915</v>
      </c>
      <c r="S28" s="56">
        <v>799</v>
      </c>
      <c r="U28" s="72"/>
      <c r="V28" s="72"/>
      <c r="W28" s="72"/>
      <c r="X28" s="72"/>
      <c r="Y28" s="72"/>
      <c r="Z28" s="72"/>
      <c r="AA28" s="72"/>
      <c r="AQ28" s="100"/>
      <c r="AX28" s="55"/>
      <c r="BG28" s="92"/>
      <c r="BH28" s="59"/>
    </row>
    <row r="29" spans="3:60" ht="15">
      <c r="C29" s="128"/>
      <c r="D29" s="138">
        <f ca="1" t="shared" si="14"/>
        <v>988.096866513155</v>
      </c>
      <c r="E29" s="138">
        <f ca="1" t="shared" si="14"/>
        <v>964.791795758748</v>
      </c>
      <c r="F29" s="138">
        <f ca="1" t="shared" si="14"/>
        <v>980</v>
      </c>
      <c r="G29" s="61"/>
      <c r="H29" s="72">
        <v>-29.4</v>
      </c>
      <c r="I29" s="72">
        <v>-26.2</v>
      </c>
      <c r="J29" s="8">
        <v>-26.2</v>
      </c>
      <c r="K29" s="56">
        <v>7</v>
      </c>
      <c r="L29" s="8">
        <v>1013</v>
      </c>
      <c r="M29" s="8">
        <v>1010</v>
      </c>
      <c r="N29" s="8">
        <v>1004</v>
      </c>
      <c r="O29" s="8">
        <v>1021</v>
      </c>
      <c r="P29" s="8">
        <v>986</v>
      </c>
      <c r="Q29" s="8">
        <v>966</v>
      </c>
      <c r="R29" s="8">
        <v>917</v>
      </c>
      <c r="S29" s="56">
        <v>799</v>
      </c>
      <c r="U29" s="72"/>
      <c r="V29" s="72"/>
      <c r="W29" s="72"/>
      <c r="X29" s="72"/>
      <c r="Y29" s="72"/>
      <c r="Z29" s="72"/>
      <c r="AA29" s="72"/>
      <c r="AQ29" s="100"/>
      <c r="AT29" s="104" t="s">
        <v>66</v>
      </c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59"/>
    </row>
    <row r="30" spans="3:60" ht="15">
      <c r="C30" s="128"/>
      <c r="D30" s="138">
        <f ca="1" t="shared" si="14"/>
        <v>989.722851239512</v>
      </c>
      <c r="E30" s="138">
        <f ca="1" t="shared" si="14"/>
        <v>964.944388282506</v>
      </c>
      <c r="F30" s="138">
        <f ca="1" t="shared" si="14"/>
        <v>980</v>
      </c>
      <c r="G30" s="61"/>
      <c r="H30" s="72">
        <v>-25.6</v>
      </c>
      <c r="I30" s="72">
        <v>-25</v>
      </c>
      <c r="J30" s="8">
        <v>-27.9</v>
      </c>
      <c r="K30" s="56">
        <v>8</v>
      </c>
      <c r="L30" s="8">
        <v>1011</v>
      </c>
      <c r="M30" s="8">
        <v>1012</v>
      </c>
      <c r="N30" s="8">
        <v>1005</v>
      </c>
      <c r="O30" s="8">
        <v>1019</v>
      </c>
      <c r="P30" s="8">
        <v>986</v>
      </c>
      <c r="Q30" s="8">
        <v>966</v>
      </c>
      <c r="R30" s="8">
        <v>917</v>
      </c>
      <c r="S30" s="56">
        <v>800</v>
      </c>
      <c r="U30" s="72"/>
      <c r="V30" s="72"/>
      <c r="W30" s="72"/>
      <c r="X30" s="72"/>
      <c r="Y30" s="72"/>
      <c r="Z30" s="72"/>
      <c r="AA30" s="72"/>
      <c r="AQ30" s="100"/>
      <c r="AT30" s="53" t="s">
        <v>57</v>
      </c>
      <c r="AU30" s="139">
        <v>1.03</v>
      </c>
      <c r="AV30" s="139">
        <v>1.03</v>
      </c>
      <c r="AW30" s="139">
        <v>1.03</v>
      </c>
      <c r="AX30" s="94"/>
      <c r="AY30" s="140">
        <v>1.03</v>
      </c>
      <c r="AZ30" s="140">
        <v>1.03</v>
      </c>
      <c r="BA30" s="140">
        <v>1.03</v>
      </c>
      <c r="BB30" s="140">
        <v>1.03</v>
      </c>
      <c r="BC30" s="140">
        <v>1.03</v>
      </c>
      <c r="BD30" s="140">
        <v>1.05</v>
      </c>
      <c r="BE30" s="140">
        <v>1.08</v>
      </c>
      <c r="BF30" s="140">
        <v>1.08</v>
      </c>
      <c r="BG30" s="92"/>
      <c r="BH30" s="59"/>
    </row>
    <row r="31" spans="3:60" ht="15">
      <c r="C31" s="128"/>
      <c r="D31" s="141">
        <f ca="1" t="shared" si="14"/>
        <v>988.301597407448</v>
      </c>
      <c r="E31" s="141">
        <f ca="1" t="shared" si="14"/>
        <v>964.165168785241</v>
      </c>
      <c r="F31" s="141">
        <f ca="1" t="shared" si="14"/>
        <v>980</v>
      </c>
      <c r="G31" s="61"/>
      <c r="H31" s="72">
        <v>-27.6</v>
      </c>
      <c r="I31" s="72">
        <v>-24.8</v>
      </c>
      <c r="J31" s="8">
        <v>-27.8</v>
      </c>
      <c r="K31" s="56">
        <v>9</v>
      </c>
      <c r="L31" s="8">
        <v>1012</v>
      </c>
      <c r="M31" s="8">
        <v>1010</v>
      </c>
      <c r="N31" s="8">
        <v>1005</v>
      </c>
      <c r="O31" s="8">
        <v>1021</v>
      </c>
      <c r="P31" s="8">
        <v>988</v>
      </c>
      <c r="Q31" s="8">
        <v>967</v>
      </c>
      <c r="R31" s="8">
        <v>917</v>
      </c>
      <c r="S31" s="56">
        <v>799</v>
      </c>
      <c r="U31" s="72"/>
      <c r="V31" s="72"/>
      <c r="W31" s="72"/>
      <c r="X31" s="72"/>
      <c r="Y31" s="72"/>
      <c r="Z31" s="72"/>
      <c r="AA31" s="72"/>
      <c r="AQ31" s="100"/>
      <c r="AT31" s="53" t="s">
        <v>58</v>
      </c>
      <c r="AU31" s="139">
        <v>1.03</v>
      </c>
      <c r="AV31" s="139">
        <v>1.03</v>
      </c>
      <c r="AW31" s="139">
        <v>1.03</v>
      </c>
      <c r="AX31" s="94"/>
      <c r="AY31" s="140">
        <v>1.03</v>
      </c>
      <c r="AZ31" s="140">
        <v>1.03</v>
      </c>
      <c r="BA31" s="140">
        <v>1.03</v>
      </c>
      <c r="BB31" s="140">
        <v>1.03</v>
      </c>
      <c r="BC31" s="140">
        <v>1.03</v>
      </c>
      <c r="BD31" s="140">
        <v>1.05</v>
      </c>
      <c r="BE31" s="140">
        <v>1.08</v>
      </c>
      <c r="BF31" s="140">
        <v>1.08</v>
      </c>
      <c r="BG31" s="92"/>
      <c r="BH31" s="59"/>
    </row>
    <row r="32" spans="3:60" ht="15">
      <c r="C32" s="128"/>
      <c r="D32" s="141">
        <f ca="1" t="shared" si="14"/>
        <v>988.729110882036</v>
      </c>
      <c r="E32" s="141">
        <f ca="1" t="shared" si="14"/>
        <v>964.420849992778</v>
      </c>
      <c r="F32" s="141">
        <f ca="1" t="shared" si="14"/>
        <v>980</v>
      </c>
      <c r="G32" s="61"/>
      <c r="H32" s="72">
        <v>-25.7</v>
      </c>
      <c r="I32" s="72">
        <v>-27.7</v>
      </c>
      <c r="J32" s="8">
        <v>-25.5</v>
      </c>
      <c r="K32" s="56">
        <v>10</v>
      </c>
      <c r="L32" s="8">
        <v>1011</v>
      </c>
      <c r="M32" s="8">
        <v>1011</v>
      </c>
      <c r="N32" s="8">
        <v>1006</v>
      </c>
      <c r="O32" s="8">
        <v>1020</v>
      </c>
      <c r="P32" s="8">
        <v>986</v>
      </c>
      <c r="Q32" s="8">
        <v>967</v>
      </c>
      <c r="R32" s="8">
        <v>916</v>
      </c>
      <c r="S32" s="56">
        <v>800</v>
      </c>
      <c r="U32" s="72"/>
      <c r="V32" s="72"/>
      <c r="W32" s="72"/>
      <c r="X32" s="72"/>
      <c r="Y32" s="72"/>
      <c r="Z32" s="72"/>
      <c r="AA32" s="72"/>
      <c r="AQ32" s="100"/>
      <c r="AX32" s="55"/>
      <c r="BG32" s="92"/>
      <c r="BH32" s="57"/>
    </row>
    <row r="33" spans="3:60" ht="15">
      <c r="C33" s="56" t="str">
        <f>C20</f>
        <v>aver</v>
      </c>
      <c r="D33" s="131">
        <f>AVERAGE(D23:D32)</f>
        <v>988.8813322445045</v>
      </c>
      <c r="E33" s="131">
        <f>AVERAGE(E23:E32)</f>
        <v>964.5591058744822</v>
      </c>
      <c r="F33" s="131">
        <f>AVERAGE(F23:F32)</f>
        <v>980</v>
      </c>
      <c r="H33" s="132">
        <f>AVERAGE(H23:H32)</f>
        <v>-27.190000000000005</v>
      </c>
      <c r="I33" s="132">
        <f>AVERAGE(I23:I32)</f>
        <v>-25.669999999999998</v>
      </c>
      <c r="J33" s="132">
        <f>AVERAGE(J23:J32)</f>
        <v>-27.130000000000003</v>
      </c>
      <c r="L33" s="132">
        <f aca="true" t="shared" si="19" ref="L33:S33">AVERAGE(L23:L32)</f>
        <v>1011.7</v>
      </c>
      <c r="M33" s="132">
        <f t="shared" si="19"/>
        <v>1010.9</v>
      </c>
      <c r="N33" s="132">
        <f t="shared" si="19"/>
        <v>1004.8</v>
      </c>
      <c r="O33" s="132">
        <f t="shared" si="19"/>
        <v>1019.7</v>
      </c>
      <c r="P33" s="132">
        <f t="shared" si="19"/>
        <v>986.9</v>
      </c>
      <c r="Q33" s="132">
        <f t="shared" si="19"/>
        <v>966.3</v>
      </c>
      <c r="R33" s="132">
        <f t="shared" si="19"/>
        <v>916.2</v>
      </c>
      <c r="S33" s="132">
        <f t="shared" si="19"/>
        <v>799.8</v>
      </c>
      <c r="T33" s="133"/>
      <c r="U33" s="132">
        <f aca="true" t="shared" si="20" ref="U33:AB33">AVERAGE(U23:U32)</f>
        <v>0</v>
      </c>
      <c r="V33" s="132">
        <f t="shared" si="20"/>
        <v>0</v>
      </c>
      <c r="W33" s="132">
        <f t="shared" si="20"/>
        <v>0</v>
      </c>
      <c r="X33" s="132">
        <f t="shared" si="20"/>
        <v>0</v>
      </c>
      <c r="Y33" s="132">
        <f t="shared" si="20"/>
        <v>0</v>
      </c>
      <c r="Z33" s="132">
        <f t="shared" si="20"/>
        <v>0</v>
      </c>
      <c r="AA33" s="132">
        <f t="shared" si="20"/>
        <v>0</v>
      </c>
      <c r="AB33" s="132">
        <f t="shared" si="20"/>
        <v>0</v>
      </c>
      <c r="AQ33" s="100"/>
      <c r="AT33" s="53" t="s">
        <v>69</v>
      </c>
      <c r="AX33" s="55"/>
      <c r="BG33" s="92"/>
      <c r="BH33" s="95"/>
    </row>
    <row r="34" spans="3:59" ht="15">
      <c r="C34" s="56" t="str">
        <f>C21</f>
        <v>uA</v>
      </c>
      <c r="D34" s="7">
        <f>STDEV(D23:D32)/3.16</f>
        <v>0.2221092141134419</v>
      </c>
      <c r="E34" s="7">
        <f>STDEV(E23:E32)/3.16</f>
        <v>0.08355146355874618</v>
      </c>
      <c r="F34" s="7">
        <f>STDEV(F23:F32)/3.16</f>
        <v>0</v>
      </c>
      <c r="H34" s="7">
        <f>STDEV(H23:H32)/3.16</f>
        <v>0.46924924973176385</v>
      </c>
      <c r="I34" s="7">
        <f>STDEV(I23:I32)/3.16</f>
        <v>0.4794765055584874</v>
      </c>
      <c r="J34" s="7">
        <f>STDEV(J23:J32)/3.16</f>
        <v>0.2562444512994537</v>
      </c>
      <c r="L34" s="10">
        <f>STDEV(L23:L32)/3.16</f>
        <v>0.26052930454068496</v>
      </c>
      <c r="M34" s="10">
        <f aca="true" t="shared" si="21" ref="M34:S34">STDEV(M23:M32)/3.16</f>
        <v>0.3146926981049852</v>
      </c>
      <c r="N34" s="10">
        <f t="shared" si="21"/>
        <v>0.2496236195400682</v>
      </c>
      <c r="O34" s="10">
        <f t="shared" si="21"/>
        <v>0.26052930454068496</v>
      </c>
      <c r="P34" s="10">
        <f t="shared" si="21"/>
        <v>0.31469269811157125</v>
      </c>
      <c r="Q34" s="10">
        <f t="shared" si="21"/>
        <v>0.21359131573118764</v>
      </c>
      <c r="R34" s="10">
        <f t="shared" si="21"/>
        <v>0.29080271628882326</v>
      </c>
      <c r="S34" s="10">
        <f t="shared" si="21"/>
        <v>0.24962361954006815</v>
      </c>
      <c r="T34" s="92"/>
      <c r="U34" s="10">
        <f>STDEV(U23:U32)/3.16</f>
        <v>0</v>
      </c>
      <c r="V34" s="10">
        <f aca="true" t="shared" si="22" ref="V34:AB34">STDEV(V23:V32)/3.16</f>
        <v>0</v>
      </c>
      <c r="W34" s="10">
        <f t="shared" si="22"/>
        <v>0</v>
      </c>
      <c r="X34" s="10">
        <f t="shared" si="22"/>
        <v>0</v>
      </c>
      <c r="Y34" s="10">
        <f t="shared" si="22"/>
        <v>0</v>
      </c>
      <c r="Z34" s="10">
        <f t="shared" si="22"/>
        <v>0</v>
      </c>
      <c r="AA34" s="10">
        <f t="shared" si="22"/>
        <v>0</v>
      </c>
      <c r="AB34" s="10">
        <f t="shared" si="22"/>
        <v>0</v>
      </c>
      <c r="AQ34" s="100"/>
      <c r="AS34" s="55"/>
      <c r="AT34" s="56" t="str">
        <f>AT30</f>
        <v>kanal 1</v>
      </c>
      <c r="AU34" s="130">
        <f>100*((1+(AU30-1)/(AU30+1)*($AZ4-1)/($AZ4+1))^2-1)</f>
        <v>0.072102383045336</v>
      </c>
      <c r="AV34" s="130">
        <f>100*((1+(AV30-1)/(AV30+1)*($AZ4-1)/($AZ4+1))^2-1)</f>
        <v>0.072102383045336</v>
      </c>
      <c r="AW34" s="130">
        <f>100*((1+(AW30-1)/(AW30+1)*($AZ4-1)/($AZ4+1))^2-1)</f>
        <v>0.072102383045336</v>
      </c>
      <c r="AX34" s="92"/>
      <c r="AY34" s="36">
        <f aca="true" t="shared" si="23" ref="AY34:BE34">100*((1+(AY30-1)/(AY30+1)*($AZ4-1)/($AZ4+1))^2-1)</f>
        <v>0.072102383045336</v>
      </c>
      <c r="AZ34" s="36">
        <f t="shared" si="23"/>
        <v>0.072102383045336</v>
      </c>
      <c r="BA34" s="36">
        <f t="shared" si="23"/>
        <v>0.072102383045336</v>
      </c>
      <c r="BB34" s="36">
        <f t="shared" si="23"/>
        <v>0.072102383045336</v>
      </c>
      <c r="BC34" s="36">
        <f t="shared" si="23"/>
        <v>0.072102383045336</v>
      </c>
      <c r="BD34" s="36">
        <f t="shared" si="23"/>
        <v>0.1190121882211459</v>
      </c>
      <c r="BE34" s="36">
        <f t="shared" si="23"/>
        <v>0.18770526137934507</v>
      </c>
      <c r="BF34" s="36">
        <f>100*((1+(BF30-1)/(BF30+1)*($AZ4-1)/($AZ4+1))^2-1)</f>
        <v>0.18770526137934507</v>
      </c>
      <c r="BG34" s="92"/>
    </row>
    <row r="35" spans="8:59" ht="15">
      <c r="H35" s="8"/>
      <c r="I35" s="8"/>
      <c r="J35" s="8"/>
      <c r="L35" s="10"/>
      <c r="M35" s="10"/>
      <c r="N35" s="10"/>
      <c r="O35" s="10"/>
      <c r="P35" s="10"/>
      <c r="Q35" s="10"/>
      <c r="R35" s="10"/>
      <c r="S35" s="10"/>
      <c r="T35" s="92"/>
      <c r="U35" s="10"/>
      <c r="V35" s="10"/>
      <c r="W35" s="10"/>
      <c r="X35" s="10"/>
      <c r="Y35" s="10"/>
      <c r="Z35" s="10"/>
      <c r="AA35" s="10"/>
      <c r="AQ35" s="100"/>
      <c r="AT35" s="56" t="str">
        <f>AT31</f>
        <v>kanal 2</v>
      </c>
      <c r="AU35" s="130">
        <f>100*((1+(AU31-1)/(AU31+1)*($AZ4-1)/($AZ4+1))^2-1)</f>
        <v>0.072102383045336</v>
      </c>
      <c r="AV35" s="130">
        <f>100*((1+(AV31-1)/(AV31+1)*($AZ4-1)/($AZ4+1))^2-1)</f>
        <v>0.072102383045336</v>
      </c>
      <c r="AW35" s="130">
        <f>100*((1+(AW31-1)/(AW31+1)*($AZ4-1)/($AZ4+1))^2-1)</f>
        <v>0.072102383045336</v>
      </c>
      <c r="AX35" s="92"/>
      <c r="AY35" s="36">
        <f aca="true" t="shared" si="24" ref="AY35:BE35">100*((1+(AY31-1)/(AY31+1)*($AZ4-1)/($AZ4+1))^2-1)</f>
        <v>0.072102383045336</v>
      </c>
      <c r="AZ35" s="36">
        <f t="shared" si="24"/>
        <v>0.072102383045336</v>
      </c>
      <c r="BA35" s="36">
        <f t="shared" si="24"/>
        <v>0.072102383045336</v>
      </c>
      <c r="BB35" s="36">
        <f t="shared" si="24"/>
        <v>0.072102383045336</v>
      </c>
      <c r="BC35" s="36">
        <f t="shared" si="24"/>
        <v>0.072102383045336</v>
      </c>
      <c r="BD35" s="36">
        <f t="shared" si="24"/>
        <v>0.1190121882211459</v>
      </c>
      <c r="BE35" s="36">
        <f t="shared" si="24"/>
        <v>0.18770526137934507</v>
      </c>
      <c r="BF35" s="36">
        <f>100*((1+(BF31-1)/(BF31+1)*($AZ4-1)/($AZ4+1))^2-1)</f>
        <v>0.18770526137934507</v>
      </c>
      <c r="BG35" s="92"/>
    </row>
    <row r="36" spans="3:43" ht="15">
      <c r="C36" s="122" t="s">
        <v>61</v>
      </c>
      <c r="D36" s="142" t="s">
        <v>59</v>
      </c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21"/>
      <c r="AD36" s="121"/>
      <c r="AE36" s="142" t="str">
        <f>D36</f>
        <v>nastavena uroven generatora</v>
      </c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00"/>
    </row>
    <row r="37" spans="3:43" ht="15">
      <c r="C37" s="55">
        <v>100</v>
      </c>
      <c r="D37" s="142">
        <v>250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21"/>
      <c r="AD37" s="121"/>
      <c r="AE37" s="142">
        <f>D37</f>
        <v>250</v>
      </c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00"/>
    </row>
    <row r="38" spans="3:59" ht="15">
      <c r="C38" s="128" t="s">
        <v>57</v>
      </c>
      <c r="D38" s="84">
        <v>196</v>
      </c>
      <c r="E38" s="84">
        <v>191</v>
      </c>
      <c r="F38" s="84">
        <v>193</v>
      </c>
      <c r="G38" s="56"/>
      <c r="H38" s="8">
        <v>-5</v>
      </c>
      <c r="I38" s="8">
        <v>-6.1</v>
      </c>
      <c r="J38" s="8">
        <v>-7.9</v>
      </c>
      <c r="K38" s="56">
        <v>1</v>
      </c>
      <c r="L38" s="8">
        <v>255</v>
      </c>
      <c r="M38" s="8">
        <v>252</v>
      </c>
      <c r="N38" s="8">
        <v>252</v>
      </c>
      <c r="O38" s="8">
        <v>251</v>
      </c>
      <c r="P38" s="8">
        <v>245</v>
      </c>
      <c r="Q38" s="8">
        <v>246</v>
      </c>
      <c r="R38" s="8">
        <v>233</v>
      </c>
      <c r="S38" s="56">
        <v>194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E38" s="10">
        <v>248.401</v>
      </c>
      <c r="AF38" s="10">
        <v>248.401</v>
      </c>
      <c r="AG38" s="10">
        <v>251.2</v>
      </c>
      <c r="AH38" s="56">
        <v>1</v>
      </c>
      <c r="AI38" s="8">
        <v>259</v>
      </c>
      <c r="AJ38" s="8">
        <v>257.5</v>
      </c>
      <c r="AK38" s="8">
        <v>258.8</v>
      </c>
      <c r="AL38" s="8">
        <v>261.9</v>
      </c>
      <c r="AM38" s="8">
        <v>255.2</v>
      </c>
      <c r="AN38" s="8">
        <v>253.3</v>
      </c>
      <c r="AO38" s="8">
        <v>250.2</v>
      </c>
      <c r="AP38" s="56">
        <v>248</v>
      </c>
      <c r="AQ38" s="100"/>
      <c r="AU38" s="100"/>
      <c r="AV38" s="104" t="s">
        <v>79</v>
      </c>
      <c r="BG38" s="94"/>
    </row>
    <row r="39" spans="3:60" ht="15">
      <c r="C39" s="128"/>
      <c r="D39" s="84">
        <v>198</v>
      </c>
      <c r="E39" s="84">
        <v>193</v>
      </c>
      <c r="F39" s="84">
        <v>195</v>
      </c>
      <c r="G39" s="56"/>
      <c r="H39" s="8">
        <v>-8.1</v>
      </c>
      <c r="I39" s="8">
        <v>-5.9</v>
      </c>
      <c r="J39" s="8">
        <v>-6</v>
      </c>
      <c r="K39" s="56">
        <v>2</v>
      </c>
      <c r="L39" s="8">
        <v>255</v>
      </c>
      <c r="M39" s="8">
        <v>252</v>
      </c>
      <c r="N39" s="8">
        <v>250</v>
      </c>
      <c r="O39" s="8">
        <v>251</v>
      </c>
      <c r="P39" s="8">
        <v>247</v>
      </c>
      <c r="Q39" s="8">
        <v>246</v>
      </c>
      <c r="R39" s="8">
        <v>232</v>
      </c>
      <c r="S39" s="56">
        <v>193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E39" s="10">
        <v>248.399</v>
      </c>
      <c r="AF39" s="10">
        <v>248.399</v>
      </c>
      <c r="AG39" s="10">
        <v>251.198</v>
      </c>
      <c r="AH39" s="56">
        <v>2</v>
      </c>
      <c r="AI39" s="8">
        <v>258.7</v>
      </c>
      <c r="AJ39" s="8">
        <v>256.6</v>
      </c>
      <c r="AK39" s="8">
        <v>258.7</v>
      </c>
      <c r="AL39" s="8">
        <v>262.2</v>
      </c>
      <c r="AM39" s="8">
        <v>256.7</v>
      </c>
      <c r="AN39" s="8">
        <v>253.3</v>
      </c>
      <c r="AO39" s="8">
        <v>251.1</v>
      </c>
      <c r="AP39" s="56">
        <v>248</v>
      </c>
      <c r="AQ39" s="100"/>
      <c r="AT39" s="56" t="str">
        <f aca="true" t="shared" si="25" ref="AT39:AT44">AT21</f>
        <v>kanal 1</v>
      </c>
      <c r="AU39" s="130">
        <f>$BC$5/2/1.73*100/F134</f>
        <v>0.002904999358820453</v>
      </c>
      <c r="AV39" s="130">
        <f>$BC$5/2/1.73*100/G134</f>
        <v>0.0029774075389722696</v>
      </c>
      <c r="AW39" s="130">
        <f>$BC$5/2/1.73*100/H134</f>
        <v>0.002963041957617245</v>
      </c>
      <c r="AY39" s="55"/>
      <c r="BB39" s="55"/>
      <c r="BC39" s="108" t="s">
        <v>71</v>
      </c>
      <c r="BD39" s="108" t="s">
        <v>63</v>
      </c>
      <c r="BE39" s="108" t="s">
        <v>77</v>
      </c>
      <c r="BG39" s="94"/>
      <c r="BH39" s="95"/>
    </row>
    <row r="40" spans="3:60" ht="15">
      <c r="C40" s="128"/>
      <c r="D40" s="84">
        <v>197</v>
      </c>
      <c r="E40" s="84">
        <v>191</v>
      </c>
      <c r="F40" s="84">
        <v>195</v>
      </c>
      <c r="G40" s="56"/>
      <c r="H40" s="8">
        <v>-6.1</v>
      </c>
      <c r="I40" s="8">
        <v>-8.5</v>
      </c>
      <c r="J40" s="8">
        <v>-9.4</v>
      </c>
      <c r="K40" s="56">
        <v>3</v>
      </c>
      <c r="L40" s="8">
        <v>254</v>
      </c>
      <c r="M40" s="8">
        <v>253</v>
      </c>
      <c r="N40" s="8">
        <v>250</v>
      </c>
      <c r="O40" s="8">
        <v>252</v>
      </c>
      <c r="P40" s="8">
        <v>246</v>
      </c>
      <c r="Q40" s="8">
        <v>246</v>
      </c>
      <c r="R40" s="8">
        <v>231</v>
      </c>
      <c r="S40" s="56">
        <v>193</v>
      </c>
      <c r="U40" s="8"/>
      <c r="V40" s="8"/>
      <c r="W40" s="8"/>
      <c r="X40" s="8"/>
      <c r="Y40" s="8"/>
      <c r="Z40" s="8"/>
      <c r="AA40" s="8"/>
      <c r="AE40" s="10">
        <v>248.402</v>
      </c>
      <c r="AF40" s="10">
        <v>248.402</v>
      </c>
      <c r="AG40" s="10">
        <v>251.202</v>
      </c>
      <c r="AH40" s="56">
        <v>3</v>
      </c>
      <c r="AI40" s="8">
        <v>259.7</v>
      </c>
      <c r="AJ40" s="8">
        <v>257.7</v>
      </c>
      <c r="AK40" s="8">
        <v>258.3</v>
      </c>
      <c r="AL40" s="8">
        <v>262.4</v>
      </c>
      <c r="AM40" s="8">
        <v>255.2</v>
      </c>
      <c r="AN40" s="8">
        <v>252.4</v>
      </c>
      <c r="AO40" s="8">
        <v>251</v>
      </c>
      <c r="AQ40" s="100"/>
      <c r="AT40" s="56" t="str">
        <f t="shared" si="25"/>
        <v>kanal 2</v>
      </c>
      <c r="AU40" s="130">
        <f>$BC$5/2/1.73*100/F136</f>
        <v>0.002904645932757777</v>
      </c>
      <c r="AV40" s="130">
        <f>$BC$5/2/1.73*100/G136</f>
        <v>0.002977327328821857</v>
      </c>
      <c r="AW40" s="130">
        <f>$BC$5/2/1.73*100/H136</f>
        <v>0.0031128533046610525</v>
      </c>
      <c r="BB40" s="57" t="s">
        <v>70</v>
      </c>
      <c r="BC40" s="36">
        <f>1.5/1.73</f>
        <v>0.8670520231213873</v>
      </c>
      <c r="BD40" s="5">
        <v>1</v>
      </c>
      <c r="BE40" s="36">
        <f>(BC40*BD40)^2</f>
        <v>0.7517792107988908</v>
      </c>
      <c r="BG40" s="94"/>
      <c r="BH40" s="95"/>
    </row>
    <row r="41" spans="3:60" ht="15">
      <c r="C41" s="128"/>
      <c r="D41" s="84">
        <v>196</v>
      </c>
      <c r="E41" s="84">
        <v>191</v>
      </c>
      <c r="F41" s="84">
        <v>194</v>
      </c>
      <c r="G41" s="56"/>
      <c r="H41" s="8">
        <v>-4.7</v>
      </c>
      <c r="I41" s="8">
        <v>-4.3</v>
      </c>
      <c r="J41" s="8">
        <v>-6.2</v>
      </c>
      <c r="K41" s="56">
        <v>4</v>
      </c>
      <c r="L41" s="8">
        <v>255</v>
      </c>
      <c r="M41" s="8">
        <v>254</v>
      </c>
      <c r="N41" s="8">
        <v>251</v>
      </c>
      <c r="O41" s="8">
        <v>250</v>
      </c>
      <c r="P41" s="8">
        <v>246</v>
      </c>
      <c r="Q41" s="8">
        <v>246</v>
      </c>
      <c r="R41" s="8">
        <v>233</v>
      </c>
      <c r="S41" s="56">
        <v>193</v>
      </c>
      <c r="U41" s="8"/>
      <c r="V41" s="8"/>
      <c r="W41" s="8"/>
      <c r="X41" s="8"/>
      <c r="Y41" s="8"/>
      <c r="Z41" s="8"/>
      <c r="AA41" s="8"/>
      <c r="AE41" s="10">
        <v>248.401</v>
      </c>
      <c r="AF41" s="10">
        <v>248.401</v>
      </c>
      <c r="AG41" s="10">
        <v>251.2</v>
      </c>
      <c r="AH41" s="56">
        <v>4</v>
      </c>
      <c r="AI41" s="8">
        <v>259.1</v>
      </c>
      <c r="AJ41" s="8">
        <v>257.7</v>
      </c>
      <c r="AK41" s="8">
        <v>258.1</v>
      </c>
      <c r="AL41" s="8">
        <v>262</v>
      </c>
      <c r="AM41" s="8">
        <v>255.5</v>
      </c>
      <c r="AN41" s="8">
        <v>253.4</v>
      </c>
      <c r="AO41" s="8">
        <v>251.1</v>
      </c>
      <c r="AP41" s="121"/>
      <c r="AQ41" s="143"/>
      <c r="AT41" s="56" t="str">
        <f t="shared" si="25"/>
        <v>kanal 1</v>
      </c>
      <c r="AU41" s="130">
        <f>$BC$5/2/1.73*100/F138</f>
        <v>0.014566747677075421</v>
      </c>
      <c r="AV41" s="130">
        <f>$BC$5/2/1.73*100/G138</f>
        <v>0.014966496278241604</v>
      </c>
      <c r="AW41" s="130">
        <f>$BC$5/2/1.73*100/H138</f>
        <v>0.006506915481209991</v>
      </c>
      <c r="BB41" s="57" t="s">
        <v>72</v>
      </c>
      <c r="BC41" s="36">
        <f>10^(AZ5/20)*100</f>
        <v>0.001</v>
      </c>
      <c r="BD41" s="5">
        <v>1</v>
      </c>
      <c r="BE41" s="36">
        <f>(BC41*BD41)^2</f>
        <v>1E-06</v>
      </c>
      <c r="BG41" s="94"/>
      <c r="BH41" s="94"/>
    </row>
    <row r="42" spans="3:60" ht="15">
      <c r="C42" s="128"/>
      <c r="D42" s="84">
        <v>197</v>
      </c>
      <c r="E42" s="84">
        <v>192</v>
      </c>
      <c r="F42" s="84">
        <v>195</v>
      </c>
      <c r="G42" s="56"/>
      <c r="H42" s="8">
        <v>-7.9</v>
      </c>
      <c r="I42" s="8">
        <v>-5.2</v>
      </c>
      <c r="J42" s="8">
        <v>-7.7</v>
      </c>
      <c r="K42" s="56">
        <v>5</v>
      </c>
      <c r="L42" s="8">
        <v>254</v>
      </c>
      <c r="M42" s="8">
        <v>253</v>
      </c>
      <c r="N42" s="8">
        <v>250</v>
      </c>
      <c r="O42" s="8">
        <v>250</v>
      </c>
      <c r="P42" s="8">
        <v>246</v>
      </c>
      <c r="Q42" s="8">
        <v>246</v>
      </c>
      <c r="R42" s="8">
        <v>233</v>
      </c>
      <c r="S42" s="56">
        <v>193</v>
      </c>
      <c r="U42" s="8"/>
      <c r="V42" s="8"/>
      <c r="W42" s="8"/>
      <c r="X42" s="8"/>
      <c r="Y42" s="8"/>
      <c r="Z42" s="8"/>
      <c r="AA42" s="8"/>
      <c r="AE42" s="10">
        <v>248.398</v>
      </c>
      <c r="AF42" s="10">
        <v>248.398</v>
      </c>
      <c r="AG42" s="10">
        <v>251.201</v>
      </c>
      <c r="AH42" s="56">
        <v>5</v>
      </c>
      <c r="AI42" s="8">
        <v>259</v>
      </c>
      <c r="AJ42" s="8">
        <v>257.9</v>
      </c>
      <c r="AK42" s="8">
        <v>258.5</v>
      </c>
      <c r="AL42" s="8">
        <v>261.9</v>
      </c>
      <c r="AM42" s="8">
        <v>255.2</v>
      </c>
      <c r="AN42" s="8">
        <v>252.2</v>
      </c>
      <c r="AO42" s="8">
        <v>250.9</v>
      </c>
      <c r="AP42" s="121"/>
      <c r="AQ42" s="143"/>
      <c r="AT42" s="56" t="str">
        <f t="shared" si="25"/>
        <v>kanal 2</v>
      </c>
      <c r="AU42" s="130">
        <f>$BC$5/2/1.73*100/F140</f>
        <v>0.014687384524770178</v>
      </c>
      <c r="AV42" s="130">
        <f>$BC$5/2/1.73*100/G140</f>
        <v>0.015118206605210745</v>
      </c>
      <c r="AW42" s="130">
        <f>$BC$5/2/1.73*100/H140</f>
        <v>0.015011638552762491</v>
      </c>
      <c r="BB42" s="57" t="s">
        <v>78</v>
      </c>
      <c r="BC42" s="36">
        <f>(10^(BC4/20)-1)*100</f>
        <v>1.1579454259898592</v>
      </c>
      <c r="BD42" s="5">
        <v>1</v>
      </c>
      <c r="BE42" s="36">
        <f>(BC42*BD42)^2</f>
        <v>1.3408376095708363</v>
      </c>
      <c r="BG42" s="94"/>
      <c r="BH42" s="94"/>
    </row>
    <row r="43" spans="3:60" ht="15">
      <c r="C43" s="128"/>
      <c r="D43" s="84">
        <v>198</v>
      </c>
      <c r="E43" s="84">
        <v>193</v>
      </c>
      <c r="F43" s="84">
        <v>193</v>
      </c>
      <c r="G43" s="56"/>
      <c r="H43" s="8">
        <v>-7.4</v>
      </c>
      <c r="I43" s="8">
        <v>-4.1</v>
      </c>
      <c r="J43" s="8">
        <v>-5.3</v>
      </c>
      <c r="K43" s="56">
        <v>6</v>
      </c>
      <c r="L43" s="8">
        <v>256</v>
      </c>
      <c r="M43" s="8">
        <v>252</v>
      </c>
      <c r="N43" s="8">
        <v>250</v>
      </c>
      <c r="O43" s="8">
        <v>250</v>
      </c>
      <c r="P43" s="8">
        <v>246</v>
      </c>
      <c r="Q43" s="8">
        <v>245</v>
      </c>
      <c r="R43" s="8">
        <v>232</v>
      </c>
      <c r="S43" s="56">
        <v>193</v>
      </c>
      <c r="U43" s="8"/>
      <c r="V43" s="8"/>
      <c r="W43" s="8"/>
      <c r="X43" s="8"/>
      <c r="Y43" s="8"/>
      <c r="Z43" s="8"/>
      <c r="AA43" s="8"/>
      <c r="AE43" s="10">
        <v>248.401</v>
      </c>
      <c r="AF43" s="10">
        <v>248.401</v>
      </c>
      <c r="AG43" s="10">
        <v>251.2</v>
      </c>
      <c r="AH43" s="56">
        <v>6</v>
      </c>
      <c r="AI43" s="8">
        <v>258.7</v>
      </c>
      <c r="AJ43" s="8">
        <v>257</v>
      </c>
      <c r="AK43" s="8">
        <v>258.2</v>
      </c>
      <c r="AL43" s="8">
        <v>261.3</v>
      </c>
      <c r="AM43" s="8">
        <v>255.7</v>
      </c>
      <c r="AN43" s="8">
        <v>252.7</v>
      </c>
      <c r="AO43" s="8">
        <v>250.2</v>
      </c>
      <c r="AQ43" s="100"/>
      <c r="AT43" s="56" t="str">
        <f t="shared" si="25"/>
        <v>kanal 1</v>
      </c>
      <c r="AU43" s="130">
        <f>$BC$5/2/1.73*100/F142</f>
        <v>0.05936612114479781</v>
      </c>
      <c r="AV43" s="130">
        <f>$BC$5/2/1.73*100/G142</f>
        <v>0.059806357858168326</v>
      </c>
      <c r="AW43" s="130">
        <f>$BC$5/2/1.73*100/H142</f>
        <v>0.029648234257771897</v>
      </c>
      <c r="AX43" s="55"/>
      <c r="BB43" s="53" t="s">
        <v>95</v>
      </c>
      <c r="BC43" s="56">
        <f>0.1/1.73</f>
        <v>0.05780346820809249</v>
      </c>
      <c r="BD43" s="56">
        <v>1</v>
      </c>
      <c r="BE43" s="36">
        <f>(BC43*BD43)^2</f>
        <v>0.0033412409368839594</v>
      </c>
      <c r="BH43" s="57"/>
    </row>
    <row r="44" spans="3:60" ht="15">
      <c r="C44" s="128"/>
      <c r="D44" s="84">
        <v>198</v>
      </c>
      <c r="E44" s="84">
        <v>191</v>
      </c>
      <c r="F44" s="84">
        <v>195</v>
      </c>
      <c r="G44" s="56"/>
      <c r="H44" s="8">
        <v>-5.4</v>
      </c>
      <c r="I44" s="8">
        <v>-8</v>
      </c>
      <c r="J44" s="8">
        <v>-6.6</v>
      </c>
      <c r="K44" s="56">
        <v>7</v>
      </c>
      <c r="L44" s="8">
        <v>255</v>
      </c>
      <c r="M44" s="8">
        <v>254</v>
      </c>
      <c r="N44" s="8">
        <v>250</v>
      </c>
      <c r="O44" s="8">
        <v>251</v>
      </c>
      <c r="P44" s="8">
        <v>247</v>
      </c>
      <c r="Q44" s="8">
        <v>244</v>
      </c>
      <c r="R44" s="8">
        <v>233</v>
      </c>
      <c r="S44" s="56">
        <v>193</v>
      </c>
      <c r="U44" s="8"/>
      <c r="V44" s="8"/>
      <c r="W44" s="8"/>
      <c r="X44" s="8"/>
      <c r="Y44" s="8"/>
      <c r="Z44" s="8"/>
      <c r="AA44" s="8"/>
      <c r="AE44" s="10">
        <v>248.399</v>
      </c>
      <c r="AF44" s="10">
        <v>248.399</v>
      </c>
      <c r="AG44" s="10">
        <v>251.198</v>
      </c>
      <c r="AH44" s="56">
        <v>7</v>
      </c>
      <c r="AI44" s="8">
        <v>259.2</v>
      </c>
      <c r="AJ44" s="8">
        <v>256.8</v>
      </c>
      <c r="AK44" s="8">
        <v>259.2</v>
      </c>
      <c r="AL44" s="8">
        <v>261.2</v>
      </c>
      <c r="AM44" s="8">
        <v>256.3</v>
      </c>
      <c r="AN44" s="8">
        <v>252.3</v>
      </c>
      <c r="AO44" s="8">
        <v>250.7</v>
      </c>
      <c r="AQ44" s="100"/>
      <c r="AT44" s="56" t="str">
        <f t="shared" si="25"/>
        <v>kanal 2</v>
      </c>
      <c r="AU44" s="130">
        <f>$BC$5/2/1.73*100/F144</f>
        <v>0.05912693579195723</v>
      </c>
      <c r="AV44" s="130">
        <f>$BC$5/2/1.73*100/G144</f>
        <v>0.06056811743872828</v>
      </c>
      <c r="AW44" s="130">
        <f>$BC$5/2/1.73*100/H144</f>
        <v>0.05880929046166018</v>
      </c>
      <c r="BB44" s="53" t="s">
        <v>16</v>
      </c>
      <c r="BC44" s="56">
        <f>BC5/2/1.73</f>
        <v>0.028901734104046246</v>
      </c>
      <c r="BH44" s="57"/>
    </row>
    <row r="45" spans="3:60" ht="15">
      <c r="C45" s="128"/>
      <c r="D45" s="84">
        <v>197</v>
      </c>
      <c r="E45" s="84">
        <v>191</v>
      </c>
      <c r="F45" s="84">
        <v>195</v>
      </c>
      <c r="G45" s="56"/>
      <c r="H45" s="8">
        <v>-4.9</v>
      </c>
      <c r="I45" s="8">
        <v>-5.2</v>
      </c>
      <c r="J45" s="8">
        <v>-8.3</v>
      </c>
      <c r="K45" s="56">
        <v>8</v>
      </c>
      <c r="L45" s="8">
        <v>254</v>
      </c>
      <c r="M45" s="8">
        <v>252</v>
      </c>
      <c r="N45" s="8">
        <v>250</v>
      </c>
      <c r="O45" s="8">
        <v>252</v>
      </c>
      <c r="P45" s="8">
        <v>245</v>
      </c>
      <c r="Q45" s="8">
        <v>245</v>
      </c>
      <c r="R45" s="8">
        <v>233</v>
      </c>
      <c r="S45" s="56">
        <v>194</v>
      </c>
      <c r="U45" s="8"/>
      <c r="V45" s="8"/>
      <c r="W45" s="8"/>
      <c r="X45" s="8"/>
      <c r="Y45" s="8"/>
      <c r="Z45" s="8"/>
      <c r="AA45" s="8"/>
      <c r="AE45" s="10">
        <v>248.402</v>
      </c>
      <c r="AF45" s="10">
        <v>248.402</v>
      </c>
      <c r="AG45" s="10">
        <v>251.202</v>
      </c>
      <c r="AH45" s="56">
        <v>8</v>
      </c>
      <c r="AI45" s="8">
        <v>259.9</v>
      </c>
      <c r="AJ45" s="8">
        <v>256.6</v>
      </c>
      <c r="AK45" s="8">
        <v>259.3</v>
      </c>
      <c r="AL45" s="8">
        <v>261.4</v>
      </c>
      <c r="AM45" s="8">
        <v>255.6</v>
      </c>
      <c r="AN45" s="8">
        <v>252.2</v>
      </c>
      <c r="AO45" s="8">
        <v>251.5</v>
      </c>
      <c r="AQ45" s="100"/>
      <c r="AU45" s="92"/>
      <c r="BH45" s="59"/>
    </row>
    <row r="46" spans="3:60" ht="15">
      <c r="C46" s="128"/>
      <c r="D46" s="84">
        <v>196</v>
      </c>
      <c r="E46" s="84">
        <v>192</v>
      </c>
      <c r="F46" s="84">
        <v>194</v>
      </c>
      <c r="G46" s="56"/>
      <c r="H46" s="8">
        <v>-5.7</v>
      </c>
      <c r="I46" s="8">
        <v>-4.6</v>
      </c>
      <c r="J46" s="8">
        <v>-5.4</v>
      </c>
      <c r="K46" s="56">
        <v>9</v>
      </c>
      <c r="L46" s="8">
        <v>254</v>
      </c>
      <c r="M46" s="8">
        <v>252</v>
      </c>
      <c r="N46" s="8">
        <v>251</v>
      </c>
      <c r="O46" s="8">
        <v>250</v>
      </c>
      <c r="P46" s="8">
        <v>246</v>
      </c>
      <c r="Q46" s="8">
        <v>245</v>
      </c>
      <c r="R46" s="8">
        <v>232</v>
      </c>
      <c r="S46" s="56">
        <v>195</v>
      </c>
      <c r="U46" s="8"/>
      <c r="V46" s="8"/>
      <c r="W46" s="8"/>
      <c r="X46" s="8"/>
      <c r="Y46" s="8"/>
      <c r="Z46" s="8"/>
      <c r="AA46" s="8"/>
      <c r="AE46" s="10">
        <v>248.401</v>
      </c>
      <c r="AF46" s="10">
        <v>248.401</v>
      </c>
      <c r="AG46" s="10">
        <v>251.2</v>
      </c>
      <c r="AH46" s="56">
        <v>9</v>
      </c>
      <c r="AI46" s="8">
        <v>259</v>
      </c>
      <c r="AJ46" s="8">
        <v>257.2</v>
      </c>
      <c r="AK46" s="8">
        <v>258</v>
      </c>
      <c r="AL46" s="8">
        <v>261.6</v>
      </c>
      <c r="AM46" s="8">
        <v>255.5</v>
      </c>
      <c r="AN46" s="8">
        <v>252.7</v>
      </c>
      <c r="AO46" s="8">
        <v>251</v>
      </c>
      <c r="AQ46" s="100"/>
      <c r="AU46" s="92"/>
      <c r="BH46" s="59"/>
    </row>
    <row r="47" spans="3:60" ht="15">
      <c r="C47" s="128"/>
      <c r="D47" s="84">
        <v>196</v>
      </c>
      <c r="E47" s="84">
        <v>191</v>
      </c>
      <c r="F47" s="84">
        <v>194</v>
      </c>
      <c r="G47" s="56"/>
      <c r="H47" s="8">
        <v>-4.6</v>
      </c>
      <c r="I47" s="8">
        <v>-6.9</v>
      </c>
      <c r="J47" s="8">
        <v>-8.4</v>
      </c>
      <c r="K47" s="56">
        <v>10</v>
      </c>
      <c r="L47" s="8">
        <v>254</v>
      </c>
      <c r="M47" s="8">
        <v>254</v>
      </c>
      <c r="N47" s="8">
        <v>252</v>
      </c>
      <c r="O47" s="8">
        <v>251</v>
      </c>
      <c r="P47" s="8">
        <v>247</v>
      </c>
      <c r="Q47" s="8">
        <v>244</v>
      </c>
      <c r="R47" s="8">
        <v>231</v>
      </c>
      <c r="S47" s="56">
        <v>193</v>
      </c>
      <c r="U47" s="8"/>
      <c r="V47" s="8"/>
      <c r="W47" s="8"/>
      <c r="X47" s="8"/>
      <c r="Y47" s="8"/>
      <c r="Z47" s="8"/>
      <c r="AA47" s="8"/>
      <c r="AE47" s="10">
        <v>248.398</v>
      </c>
      <c r="AF47" s="10">
        <v>248.398</v>
      </c>
      <c r="AG47" s="10">
        <v>251.201</v>
      </c>
      <c r="AH47" s="56">
        <v>10</v>
      </c>
      <c r="AI47" s="8">
        <v>259.5</v>
      </c>
      <c r="AJ47" s="8">
        <v>257.1</v>
      </c>
      <c r="AK47" s="8">
        <v>259.2</v>
      </c>
      <c r="AL47" s="8">
        <v>261</v>
      </c>
      <c r="AM47" s="8">
        <v>255.6</v>
      </c>
      <c r="AN47" s="8">
        <v>252.4</v>
      </c>
      <c r="AO47" s="8">
        <v>251.3</v>
      </c>
      <c r="AQ47" s="100"/>
      <c r="AR47" s="104" t="s">
        <v>83</v>
      </c>
      <c r="AU47" s="92"/>
      <c r="AV47" s="53" t="s">
        <v>86</v>
      </c>
      <c r="AY47" s="53" t="s">
        <v>88</v>
      </c>
      <c r="BG47" s="92"/>
      <c r="BH47" s="59"/>
    </row>
    <row r="48" spans="3:60" ht="15">
      <c r="C48" s="56" t="str">
        <f>C33</f>
        <v>aver</v>
      </c>
      <c r="D48" s="131">
        <f>AVERAGE(D38:D47)</f>
        <v>196.9</v>
      </c>
      <c r="E48" s="131">
        <f>AVERAGE(E38:E47)</f>
        <v>191.6</v>
      </c>
      <c r="F48" s="131">
        <f>AVERAGE(F38:F47)</f>
        <v>194.3</v>
      </c>
      <c r="G48" s="56"/>
      <c r="H48" s="132">
        <f>AVERAGE(H38:H47)</f>
        <v>-5.9799999999999995</v>
      </c>
      <c r="I48" s="132">
        <f>AVERAGE(I38:I47)</f>
        <v>-5.880000000000001</v>
      </c>
      <c r="J48" s="132">
        <f>AVERAGE(J38:J47)</f>
        <v>-7.12</v>
      </c>
      <c r="K48" s="56"/>
      <c r="L48" s="132">
        <f aca="true" t="shared" si="26" ref="L48:S48">AVERAGE(L38:L47)</f>
        <v>254.6</v>
      </c>
      <c r="M48" s="132">
        <f t="shared" si="26"/>
        <v>252.8</v>
      </c>
      <c r="N48" s="132">
        <f t="shared" si="26"/>
        <v>250.6</v>
      </c>
      <c r="O48" s="132">
        <f t="shared" si="26"/>
        <v>250.8</v>
      </c>
      <c r="P48" s="132">
        <f t="shared" si="26"/>
        <v>246.1</v>
      </c>
      <c r="Q48" s="132">
        <f t="shared" si="26"/>
        <v>245.3</v>
      </c>
      <c r="R48" s="132">
        <f t="shared" si="26"/>
        <v>232.3</v>
      </c>
      <c r="S48" s="132">
        <f t="shared" si="26"/>
        <v>193.4</v>
      </c>
      <c r="T48" s="133"/>
      <c r="U48" s="132">
        <f aca="true" t="shared" si="27" ref="U48:AB48">AVERAGE(U38:U47)</f>
        <v>0</v>
      </c>
      <c r="V48" s="132">
        <f t="shared" si="27"/>
        <v>0</v>
      </c>
      <c r="W48" s="132">
        <f t="shared" si="27"/>
        <v>0</v>
      </c>
      <c r="X48" s="132">
        <f t="shared" si="27"/>
        <v>0</v>
      </c>
      <c r="Y48" s="132">
        <f t="shared" si="27"/>
        <v>0</v>
      </c>
      <c r="Z48" s="132">
        <f t="shared" si="27"/>
        <v>0</v>
      </c>
      <c r="AA48" s="132">
        <f t="shared" si="27"/>
        <v>0</v>
      </c>
      <c r="AB48" s="132">
        <f t="shared" si="27"/>
        <v>0</v>
      </c>
      <c r="AE48" s="134">
        <f>AVERAGE(AE38:AE47)</f>
        <v>248.40019999999998</v>
      </c>
      <c r="AF48" s="134">
        <f>AVERAGE(AF38:AF47)</f>
        <v>248.40019999999998</v>
      </c>
      <c r="AG48" s="134">
        <f>AVERAGE(AG38:AG47)</f>
        <v>251.2002</v>
      </c>
      <c r="AI48" s="132">
        <f aca="true" t="shared" si="28" ref="AI48:AO48">AVERAGE(AI38:AI47)</f>
        <v>259.18</v>
      </c>
      <c r="AJ48" s="132">
        <f t="shared" si="28"/>
        <v>257.21</v>
      </c>
      <c r="AK48" s="132">
        <f t="shared" si="28"/>
        <v>258.63</v>
      </c>
      <c r="AL48" s="132">
        <f t="shared" si="28"/>
        <v>261.69</v>
      </c>
      <c r="AM48" s="132">
        <f t="shared" si="28"/>
        <v>255.64999999999995</v>
      </c>
      <c r="AN48" s="132">
        <f t="shared" si="28"/>
        <v>252.69</v>
      </c>
      <c r="AO48" s="132">
        <f t="shared" si="28"/>
        <v>250.9</v>
      </c>
      <c r="AP48" s="132">
        <f>AVERAGE(AP38:AP47)</f>
        <v>248</v>
      </c>
      <c r="AQ48" s="100"/>
      <c r="AR48" s="53" t="s">
        <v>87</v>
      </c>
      <c r="AS48" s="53" t="s">
        <v>84</v>
      </c>
      <c r="AT48" s="53" t="s">
        <v>85</v>
      </c>
      <c r="AU48" s="92"/>
      <c r="BG48" s="92"/>
      <c r="BH48" s="59"/>
    </row>
    <row r="49" spans="3:60" ht="15">
      <c r="C49" s="56" t="str">
        <f>C34</f>
        <v>uA</v>
      </c>
      <c r="D49" s="7">
        <f>STDEV(D38:D47)/3.16</f>
        <v>0.2770870366368324</v>
      </c>
      <c r="E49" s="7">
        <f>STDEV(E38:E47)/3.16</f>
        <v>0.266858874276298</v>
      </c>
      <c r="F49" s="7">
        <f>STDEV(F38:F47)/3.16</f>
        <v>0.26052930454018774</v>
      </c>
      <c r="G49" s="56"/>
      <c r="H49" s="7">
        <f>STDEV(H38:H47)/3.16</f>
        <v>0.425825995763468</v>
      </c>
      <c r="I49" s="7">
        <f>STDEV(I38:I47)/3.16</f>
        <v>0.4796505252737071</v>
      </c>
      <c r="J49" s="7">
        <f>STDEV(J38:J47)/3.16</f>
        <v>0.44524265589466955</v>
      </c>
      <c r="K49" s="56"/>
      <c r="L49" s="10">
        <f>STDEV(L38:L47)/3.16</f>
        <v>0.2212676894879592</v>
      </c>
      <c r="M49" s="10">
        <f aca="true" t="shared" si="29" ref="M49:S49">STDEV(M38:M47)/3.16</f>
        <v>0.2908027162883778</v>
      </c>
      <c r="N49" s="10">
        <f t="shared" si="29"/>
        <v>0.266858874276298</v>
      </c>
      <c r="O49" s="10">
        <f t="shared" si="29"/>
        <v>0.24962361953954923</v>
      </c>
      <c r="P49" s="10">
        <f t="shared" si="29"/>
        <v>0.23350151499189079</v>
      </c>
      <c r="Q49" s="10">
        <f t="shared" si="29"/>
        <v>0.26052930454018774</v>
      </c>
      <c r="R49" s="10">
        <f t="shared" si="29"/>
        <v>0.26052930454018774</v>
      </c>
      <c r="S49" s="10">
        <f t="shared" si="29"/>
        <v>0.2212676894879592</v>
      </c>
      <c r="T49" s="92"/>
      <c r="U49" s="10">
        <f>STDEV(U38:U47)/3.16</f>
        <v>0</v>
      </c>
      <c r="V49" s="10">
        <f aca="true" t="shared" si="30" ref="V49:AB49">STDEV(V38:V47)/3.16</f>
        <v>0</v>
      </c>
      <c r="W49" s="10">
        <f t="shared" si="30"/>
        <v>0</v>
      </c>
      <c r="X49" s="10">
        <f t="shared" si="30"/>
        <v>0</v>
      </c>
      <c r="Y49" s="10">
        <f t="shared" si="30"/>
        <v>0</v>
      </c>
      <c r="Z49" s="10">
        <f t="shared" si="30"/>
        <v>0</v>
      </c>
      <c r="AA49" s="10">
        <f t="shared" si="30"/>
        <v>0</v>
      </c>
      <c r="AB49" s="10">
        <f t="shared" si="30"/>
        <v>0</v>
      </c>
      <c r="AE49" s="9">
        <f>STDEV(AE38:AE47)/3.16</f>
        <v>0.0004902510564819701</v>
      </c>
      <c r="AF49" s="9">
        <f>STDEV(AF38:AF47)/3.16</f>
        <v>0.0004902510564819701</v>
      </c>
      <c r="AG49" s="9">
        <f>STDEV(AG38:AG47)/3.16</f>
        <v>0.0004425353789737161</v>
      </c>
      <c r="AI49" s="10">
        <f aca="true" t="shared" si="31" ref="AI49:AO49">STDEV(AI38:AI47)/3.16</f>
        <v>0.12728357070884572</v>
      </c>
      <c r="AJ49" s="10">
        <f t="shared" si="31"/>
        <v>0.14951392101182676</v>
      </c>
      <c r="AK49" s="10">
        <f t="shared" si="31"/>
        <v>0.15362503573629363</v>
      </c>
      <c r="AL49" s="10">
        <f t="shared" si="31"/>
        <v>0.14574532293661402</v>
      </c>
      <c r="AM49" s="10">
        <f t="shared" si="31"/>
        <v>0.1559255854334869</v>
      </c>
      <c r="AN49" s="10">
        <f t="shared" si="31"/>
        <v>0.15099502622174701</v>
      </c>
      <c r="AO49" s="10">
        <f t="shared" si="31"/>
        <v>0.1350870092285428</v>
      </c>
      <c r="AP49" s="10">
        <f>STDEV(AP38:AP47)/3.16</f>
        <v>0</v>
      </c>
      <c r="AQ49" s="100"/>
      <c r="AR49" s="56">
        <v>1.4</v>
      </c>
      <c r="AS49" s="7">
        <v>0.02</v>
      </c>
      <c r="AT49" s="56">
        <v>0.03</v>
      </c>
      <c r="AU49" s="144">
        <f>($AS$49/100*F134+$AT$49/100*$AR$49)/1.73</f>
        <v>0.11525969967315071</v>
      </c>
      <c r="AV49" s="144">
        <f>($AS$49/100*G134+$AT$49/100*$AR$49)/1.73</f>
        <v>0.11246257965359605</v>
      </c>
      <c r="AW49" s="144">
        <f>($AS$49/100*H134+$AT$49/100*$AR$49)/1.73</f>
        <v>0.11300664982292988</v>
      </c>
      <c r="AY49" s="144">
        <f>AU49/F134*100</f>
        <v>0.011585095636232591</v>
      </c>
      <c r="AZ49" s="144">
        <f>AV49/G134*100</f>
        <v>0.011585703864945862</v>
      </c>
      <c r="BA49" s="144">
        <f>AW49/H134*100</f>
        <v>0.011585583194062483</v>
      </c>
      <c r="BH49" s="59"/>
    </row>
    <row r="50" spans="4:60" ht="15">
      <c r="D50" s="101"/>
      <c r="E50" s="101"/>
      <c r="F50" s="101"/>
      <c r="G50" s="56"/>
      <c r="H50" s="8"/>
      <c r="I50" s="89"/>
      <c r="J50" s="89"/>
      <c r="K50" s="56"/>
      <c r="U50" s="8"/>
      <c r="AF50" s="10"/>
      <c r="AG50" s="10"/>
      <c r="AI50" s="8"/>
      <c r="AJ50" s="8"/>
      <c r="AK50" s="8"/>
      <c r="AL50" s="8"/>
      <c r="AM50" s="8"/>
      <c r="AN50" s="8"/>
      <c r="AO50" s="8"/>
      <c r="AQ50" s="100"/>
      <c r="AR50" s="56">
        <v>0.14</v>
      </c>
      <c r="AS50" s="56">
        <v>0.02</v>
      </c>
      <c r="AT50" s="56">
        <v>0.03</v>
      </c>
      <c r="AU50" s="144">
        <f>($AS$49/100*F136+$AT$49/100*$AR$49)/1.73</f>
        <v>0.11527369448694992</v>
      </c>
      <c r="AV50" s="144">
        <f>($AS$49/100*G136+$AT$49/100*$AR$49)/1.73</f>
        <v>0.11246560289103394</v>
      </c>
      <c r="AW50" s="144">
        <f>($AS$49/100*H136+$AT$49/100*$AR$49)/1.73</f>
        <v>0.107579696993269</v>
      </c>
      <c r="AY50" s="144">
        <f>AU50/F136*100</f>
        <v>0.011585092667453663</v>
      </c>
      <c r="AZ50" s="144">
        <f>AV50/G136*100</f>
        <v>0.011585703191180602</v>
      </c>
      <c r="BA50" s="144">
        <f>AW50/H136*100</f>
        <v>0.01158684160937765</v>
      </c>
      <c r="BH50" s="59"/>
    </row>
    <row r="51" spans="3:60" ht="15">
      <c r="C51" s="128" t="s">
        <v>58</v>
      </c>
      <c r="D51" s="101">
        <v>195</v>
      </c>
      <c r="E51" s="101">
        <v>191</v>
      </c>
      <c r="F51" s="101">
        <v>193</v>
      </c>
      <c r="G51" s="56"/>
      <c r="H51" s="8">
        <v>-10.3</v>
      </c>
      <c r="I51" s="89">
        <v>-8.5</v>
      </c>
      <c r="J51" s="89">
        <v>-10.1</v>
      </c>
      <c r="K51" s="56">
        <v>1</v>
      </c>
      <c r="L51" s="8">
        <v>253</v>
      </c>
      <c r="M51" s="8">
        <v>253</v>
      </c>
      <c r="N51" s="8">
        <v>250</v>
      </c>
      <c r="O51" s="8">
        <v>251</v>
      </c>
      <c r="P51" s="8">
        <v>246</v>
      </c>
      <c r="Q51" s="8">
        <v>241</v>
      </c>
      <c r="R51" s="8">
        <v>229</v>
      </c>
      <c r="S51" s="56">
        <v>185</v>
      </c>
      <c r="U51" s="72">
        <v>0</v>
      </c>
      <c r="V51" s="72">
        <v>0</v>
      </c>
      <c r="W51" s="72">
        <v>0</v>
      </c>
      <c r="X51" s="72">
        <v>0</v>
      </c>
      <c r="Y51" s="72">
        <v>0</v>
      </c>
      <c r="Z51" s="72">
        <v>0</v>
      </c>
      <c r="AA51" s="72">
        <v>0</v>
      </c>
      <c r="AB51" s="72">
        <v>0</v>
      </c>
      <c r="AQ51" s="100"/>
      <c r="AR51" s="56"/>
      <c r="AU51" s="144">
        <f>($AS$49/100*F138+$AT$49/100*$AR$49)/1.73</f>
        <v>0.02318022780555407</v>
      </c>
      <c r="AV51" s="144">
        <f>($AS$49/100*G138+$AT$49/100*$AR$49)/1.73</f>
        <v>0.022567578413460392</v>
      </c>
      <c r="AW51" s="144">
        <f>($AS$49/100*H138+$AT$49/100*$AR$49)/1.73</f>
        <v>0.05159184996990369</v>
      </c>
      <c r="AY51" s="144">
        <f>AU51/F138*100</f>
        <v>0.01168305432210593</v>
      </c>
      <c r="AZ51" s="144">
        <f>AV51/G138*100</f>
        <v>0.011686412210355728</v>
      </c>
      <c r="BA51" s="144">
        <f>AW51/H138*100</f>
        <v>0.01161535173166066</v>
      </c>
      <c r="BH51" s="57"/>
    </row>
    <row r="52" spans="3:60" ht="15">
      <c r="C52" s="128"/>
      <c r="D52" s="53">
        <v>196</v>
      </c>
      <c r="E52" s="101">
        <v>191</v>
      </c>
      <c r="F52" s="101">
        <v>192</v>
      </c>
      <c r="G52" s="101"/>
      <c r="H52" s="89">
        <v>-8.3</v>
      </c>
      <c r="I52" s="89">
        <v>-8.4</v>
      </c>
      <c r="J52" s="89">
        <v>-7.7</v>
      </c>
      <c r="K52" s="56">
        <v>2</v>
      </c>
      <c r="L52" s="8">
        <v>254</v>
      </c>
      <c r="M52" s="8">
        <v>251</v>
      </c>
      <c r="N52" s="8">
        <v>252</v>
      </c>
      <c r="O52" s="8">
        <v>252</v>
      </c>
      <c r="P52" s="8">
        <v>247</v>
      </c>
      <c r="Q52" s="8">
        <v>240</v>
      </c>
      <c r="R52" s="8">
        <v>227</v>
      </c>
      <c r="S52" s="56">
        <v>185</v>
      </c>
      <c r="U52" s="72">
        <v>0</v>
      </c>
      <c r="V52" s="72">
        <v>0</v>
      </c>
      <c r="W52" s="72">
        <v>0</v>
      </c>
      <c r="X52" s="72">
        <v>0</v>
      </c>
      <c r="Y52" s="72">
        <v>0</v>
      </c>
      <c r="Z52" s="72">
        <v>0</v>
      </c>
      <c r="AA52" s="72">
        <v>0</v>
      </c>
      <c r="AB52" s="72">
        <v>0</v>
      </c>
      <c r="AF52" s="10"/>
      <c r="AG52" s="10"/>
      <c r="AI52" s="8"/>
      <c r="AJ52" s="8"/>
      <c r="AK52" s="8"/>
      <c r="AL52" s="8"/>
      <c r="AM52" s="8"/>
      <c r="AN52" s="8"/>
      <c r="AO52" s="8"/>
      <c r="AQ52" s="100"/>
      <c r="AR52" s="56"/>
      <c r="AU52" s="144">
        <f>($AS$49/100*F140+$AT$49/100*$AR$49)/1.73</f>
        <v>0.022991827886682074</v>
      </c>
      <c r="AV52" s="144">
        <f>($AS$49/100*G140+$AT$49/100*$AR$49)/1.73</f>
        <v>0.02234355030089439</v>
      </c>
      <c r="AW52" s="144">
        <f>($AS$49/100*H140+$AT$49/100*$AR$49)/1.73</f>
        <v>0.02250044434143065</v>
      </c>
      <c r="AY52" s="144">
        <f>AU52/F140*100</f>
        <v>0.011684067671626566</v>
      </c>
      <c r="AZ52" s="144">
        <f>AV52/G140*100</f>
        <v>0.011687686577102266</v>
      </c>
      <c r="BA52" s="144">
        <f>AW52/H140*100</f>
        <v>0.0116867914054617</v>
      </c>
      <c r="BH52" s="95"/>
    </row>
    <row r="53" spans="3:60" ht="15">
      <c r="C53" s="128"/>
      <c r="D53" s="53">
        <v>195</v>
      </c>
      <c r="E53" s="101">
        <v>189</v>
      </c>
      <c r="F53" s="101">
        <v>192</v>
      </c>
      <c r="G53" s="101"/>
      <c r="H53" s="89">
        <v>-10.2</v>
      </c>
      <c r="I53" s="89">
        <v>-5.7</v>
      </c>
      <c r="J53" s="89">
        <v>-7.8</v>
      </c>
      <c r="K53" s="56">
        <v>3</v>
      </c>
      <c r="L53" s="8">
        <v>255</v>
      </c>
      <c r="M53" s="8">
        <v>252</v>
      </c>
      <c r="N53" s="8">
        <v>251</v>
      </c>
      <c r="O53" s="8">
        <v>253</v>
      </c>
      <c r="P53" s="8">
        <v>247</v>
      </c>
      <c r="Q53" s="8">
        <v>240</v>
      </c>
      <c r="R53" s="8">
        <v>229</v>
      </c>
      <c r="S53" s="56">
        <v>186</v>
      </c>
      <c r="AQ53" s="100"/>
      <c r="AR53" s="56"/>
      <c r="AU53" s="144">
        <f>($AS$50/100*F142+$AT$50/100*$AR$50)/1.73</f>
        <v>0.005652472245952322</v>
      </c>
      <c r="AV53" s="144">
        <f>($AS$50/100*G142+$AT$50/100*$AR$50)/1.73</f>
        <v>0.005611042905243621</v>
      </c>
      <c r="AW53" s="144">
        <f>($AS$50/100*H142+$AT$50/100*$AR$50)/1.73</f>
        <v>0.011293889359447636</v>
      </c>
      <c r="AY53" s="144">
        <f>AU53/F142*100</f>
        <v>0.011610561183380125</v>
      </c>
      <c r="AZ53" s="144">
        <f>AV53/G142*100</f>
        <v>0.011610930982219362</v>
      </c>
      <c r="BA53" s="144">
        <f>AW53/H142*100</f>
        <v>0.011585598158395027</v>
      </c>
      <c r="BH53" s="59"/>
    </row>
    <row r="54" spans="3:53" ht="15">
      <c r="C54" s="128"/>
      <c r="D54" s="53">
        <v>194</v>
      </c>
      <c r="E54" s="101">
        <v>191</v>
      </c>
      <c r="F54" s="101">
        <v>192</v>
      </c>
      <c r="G54" s="101"/>
      <c r="H54" s="89">
        <v>-9.2</v>
      </c>
      <c r="I54" s="89">
        <v>-9.5</v>
      </c>
      <c r="J54" s="89">
        <v>-6.4</v>
      </c>
      <c r="K54" s="56">
        <v>4</v>
      </c>
      <c r="L54" s="8">
        <v>254</v>
      </c>
      <c r="M54" s="8">
        <v>253</v>
      </c>
      <c r="N54" s="8">
        <v>250</v>
      </c>
      <c r="O54" s="8">
        <v>251</v>
      </c>
      <c r="P54" s="8">
        <v>247</v>
      </c>
      <c r="Q54" s="8">
        <v>242</v>
      </c>
      <c r="R54" s="8">
        <v>227</v>
      </c>
      <c r="S54" s="56">
        <v>187</v>
      </c>
      <c r="AF54" s="10"/>
      <c r="AG54" s="10"/>
      <c r="AI54" s="8"/>
      <c r="AJ54" s="8"/>
      <c r="AK54" s="8"/>
      <c r="AL54" s="8"/>
      <c r="AM54" s="8"/>
      <c r="AN54" s="8"/>
      <c r="AO54" s="8"/>
      <c r="AQ54" s="100"/>
      <c r="AR54" s="56"/>
      <c r="AU54" s="144">
        <f>($AS$50/100*F144+$AT$50/100*$AR$50)/1.73</f>
        <v>0.005675239902325927</v>
      </c>
      <c r="AV54" s="144">
        <f>($AS$50/100*G144+$AT$50/100*$AR$50)/1.73</f>
        <v>0.0055407786757318694</v>
      </c>
      <c r="AW54" s="144">
        <f>($AS$50/100*H144+$AT$50/100*$AR$50)/1.73</f>
        <v>0.0057057623218018765</v>
      </c>
      <c r="AY54" s="144">
        <f>AU54/F144*100</f>
        <v>0.011610360267683743</v>
      </c>
      <c r="AZ54" s="144">
        <f>AV54/G144*100</f>
        <v>0.011611570860267031</v>
      </c>
      <c r="BA54" s="144">
        <f>AW54/H144*100</f>
        <v>0.011610093445606292</v>
      </c>
    </row>
    <row r="55" spans="3:60" ht="15">
      <c r="C55" s="128"/>
      <c r="D55" s="53">
        <v>195</v>
      </c>
      <c r="E55" s="101">
        <v>189</v>
      </c>
      <c r="F55" s="101">
        <v>192</v>
      </c>
      <c r="G55" s="101"/>
      <c r="H55" s="89">
        <v>-9.3</v>
      </c>
      <c r="I55" s="89">
        <v>-9.1</v>
      </c>
      <c r="J55" s="89">
        <v>-10</v>
      </c>
      <c r="K55" s="56">
        <v>5</v>
      </c>
      <c r="L55" s="8">
        <v>255</v>
      </c>
      <c r="M55" s="8">
        <v>253</v>
      </c>
      <c r="N55" s="8">
        <v>250</v>
      </c>
      <c r="O55" s="8">
        <v>253</v>
      </c>
      <c r="P55" s="8">
        <v>247</v>
      </c>
      <c r="Q55" s="8">
        <v>240</v>
      </c>
      <c r="R55" s="8">
        <v>228</v>
      </c>
      <c r="S55" s="56">
        <v>185</v>
      </c>
      <c r="AQ55" s="100"/>
      <c r="BH55" s="59"/>
    </row>
    <row r="56" spans="3:45" ht="15">
      <c r="C56" s="128"/>
      <c r="D56" s="53">
        <v>195</v>
      </c>
      <c r="E56" s="101">
        <v>189</v>
      </c>
      <c r="F56" s="101">
        <v>193</v>
      </c>
      <c r="G56" s="101"/>
      <c r="H56" s="89">
        <v>-10.3</v>
      </c>
      <c r="I56" s="89">
        <v>-4.8</v>
      </c>
      <c r="J56" s="89">
        <v>-10.1</v>
      </c>
      <c r="K56" s="56">
        <v>6</v>
      </c>
      <c r="L56" s="8">
        <v>255</v>
      </c>
      <c r="M56" s="8">
        <v>253</v>
      </c>
      <c r="N56" s="8">
        <v>252</v>
      </c>
      <c r="O56" s="8">
        <v>251</v>
      </c>
      <c r="P56" s="8">
        <v>246</v>
      </c>
      <c r="Q56" s="8">
        <v>242</v>
      </c>
      <c r="R56" s="8">
        <v>229</v>
      </c>
      <c r="S56" s="56">
        <v>186</v>
      </c>
      <c r="AQ56" s="100"/>
      <c r="AR56" s="100"/>
      <c r="AS56" s="104" t="s">
        <v>126</v>
      </c>
    </row>
    <row r="57" spans="3:60" ht="15">
      <c r="C57" s="128"/>
      <c r="D57" s="53">
        <v>196</v>
      </c>
      <c r="E57" s="101">
        <v>190</v>
      </c>
      <c r="F57" s="101">
        <v>194</v>
      </c>
      <c r="G57" s="101"/>
      <c r="H57" s="89">
        <v>-8.4</v>
      </c>
      <c r="I57" s="89">
        <v>-4.5</v>
      </c>
      <c r="J57" s="89">
        <v>-6.1</v>
      </c>
      <c r="K57" s="56">
        <v>7</v>
      </c>
      <c r="L57" s="8">
        <v>255</v>
      </c>
      <c r="M57" s="8">
        <v>253</v>
      </c>
      <c r="N57" s="8">
        <v>251</v>
      </c>
      <c r="O57" s="8">
        <v>251</v>
      </c>
      <c r="P57" s="8">
        <v>246</v>
      </c>
      <c r="Q57" s="8">
        <v>241</v>
      </c>
      <c r="R57" s="8">
        <v>229</v>
      </c>
      <c r="S57" s="56">
        <v>186</v>
      </c>
      <c r="AQ57" s="100"/>
      <c r="AS57" s="56">
        <f>D134</f>
        <v>500</v>
      </c>
      <c r="AT57" s="56">
        <f>AS10/1000</f>
        <v>1</v>
      </c>
      <c r="AU57" s="9">
        <f>F134/$D134/4/1.73/(2^$AZ$3)*100</f>
        <v>0.11232121592448896</v>
      </c>
      <c r="AV57" s="9">
        <f>G134/$D134/4/1.73/(2^$AZ$3)*100</f>
        <v>0.10958965340539263</v>
      </c>
      <c r="AW57" s="9">
        <f>H134/$D134/4/1.73/(2^$AZ$3)*100</f>
        <v>0.11012097193013269</v>
      </c>
      <c r="BH57" s="57"/>
    </row>
    <row r="58" spans="3:49" ht="15">
      <c r="C58" s="128"/>
      <c r="D58" s="53">
        <v>196</v>
      </c>
      <c r="E58" s="101">
        <v>189</v>
      </c>
      <c r="F58" s="101">
        <v>192</v>
      </c>
      <c r="G58" s="101"/>
      <c r="H58" s="89">
        <v>-10</v>
      </c>
      <c r="I58" s="89">
        <v>-6.8</v>
      </c>
      <c r="J58" s="89">
        <v>-6.9</v>
      </c>
      <c r="K58" s="56">
        <v>8</v>
      </c>
      <c r="L58" s="8">
        <v>254</v>
      </c>
      <c r="M58" s="8">
        <v>251</v>
      </c>
      <c r="N58" s="8">
        <v>252</v>
      </c>
      <c r="O58" s="8">
        <v>252</v>
      </c>
      <c r="P58" s="8">
        <v>247</v>
      </c>
      <c r="Q58" s="8">
        <v>242</v>
      </c>
      <c r="R58" s="8">
        <v>229</v>
      </c>
      <c r="S58" s="56">
        <v>185</v>
      </c>
      <c r="AF58" s="9"/>
      <c r="AG58" s="9"/>
      <c r="AI58" s="10"/>
      <c r="AJ58" s="10"/>
      <c r="AK58" s="10"/>
      <c r="AL58" s="10"/>
      <c r="AM58" s="10"/>
      <c r="AN58" s="10"/>
      <c r="AO58" s="10"/>
      <c r="AQ58" s="100"/>
      <c r="AS58" s="56">
        <f>D136</f>
        <v>0</v>
      </c>
      <c r="AT58" s="56">
        <f>AT57</f>
        <v>1</v>
      </c>
      <c r="AU58" s="9">
        <f>F136/$D134/4/1.73/(2^$AZ$3)*100</f>
        <v>0.11233488273483976</v>
      </c>
      <c r="AV58" s="9">
        <f>G136/$D134/4/1.73/(2^$AZ$3)*100</f>
        <v>0.10959260578570307</v>
      </c>
      <c r="AW58" s="9">
        <f>H136/$D134/4/1.73/(2^$AZ$3)*100</f>
        <v>0.10482121330741699</v>
      </c>
    </row>
    <row r="59" spans="3:60" ht="15">
      <c r="C59" s="128"/>
      <c r="D59" s="53">
        <v>196</v>
      </c>
      <c r="E59" s="101">
        <v>189</v>
      </c>
      <c r="F59" s="101">
        <v>193</v>
      </c>
      <c r="G59" s="101"/>
      <c r="H59" s="89">
        <v>-8.1</v>
      </c>
      <c r="I59" s="89">
        <v>-5.4</v>
      </c>
      <c r="J59" s="89">
        <v>-9.2</v>
      </c>
      <c r="K59" s="56">
        <v>9</v>
      </c>
      <c r="L59" s="8">
        <v>254</v>
      </c>
      <c r="M59" s="8">
        <v>252</v>
      </c>
      <c r="N59" s="8">
        <v>252</v>
      </c>
      <c r="O59" s="8">
        <v>252</v>
      </c>
      <c r="P59" s="8">
        <v>246</v>
      </c>
      <c r="Q59" s="8">
        <v>241</v>
      </c>
      <c r="R59" s="8">
        <v>227</v>
      </c>
      <c r="S59" s="56">
        <v>187</v>
      </c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43"/>
      <c r="AS59" s="56">
        <f>D138</f>
        <v>100</v>
      </c>
      <c r="AT59" s="56">
        <f>AS11/1000</f>
        <v>0.25</v>
      </c>
      <c r="AU59" s="9">
        <f>F138/$D138/4/1.73/(2^$AZ$3)*100</f>
        <v>0.11199928339394571</v>
      </c>
      <c r="AV59" s="9">
        <f>G138/$D138/4/1.73/(2^$AZ$3)*100</f>
        <v>0.1090078312841133</v>
      </c>
      <c r="AW59" s="9">
        <f>H138/$D138/4/1.73/(2^$AZ$3)*100</f>
        <v>0.25072790724330907</v>
      </c>
      <c r="BH59" s="95"/>
    </row>
    <row r="60" spans="3:49" ht="15">
      <c r="C60" s="128"/>
      <c r="D60" s="53">
        <v>196</v>
      </c>
      <c r="E60" s="101">
        <v>189</v>
      </c>
      <c r="F60" s="101">
        <v>194</v>
      </c>
      <c r="G60" s="101"/>
      <c r="H60" s="89">
        <v>-8.7</v>
      </c>
      <c r="I60" s="89">
        <v>-7</v>
      </c>
      <c r="J60" s="89">
        <v>-6.9</v>
      </c>
      <c r="K60" s="56">
        <v>10</v>
      </c>
      <c r="L60" s="8">
        <v>255</v>
      </c>
      <c r="M60" s="8">
        <v>253</v>
      </c>
      <c r="N60" s="8">
        <v>250</v>
      </c>
      <c r="O60" s="8">
        <v>252</v>
      </c>
      <c r="P60" s="8">
        <v>246</v>
      </c>
      <c r="Q60" s="8">
        <v>240</v>
      </c>
      <c r="R60" s="8">
        <v>229</v>
      </c>
      <c r="S60" s="56">
        <v>186</v>
      </c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43"/>
      <c r="AS60" s="56">
        <f>D140</f>
        <v>0</v>
      </c>
      <c r="AT60" s="56">
        <f>AT59</f>
        <v>0.25</v>
      </c>
      <c r="AU60" s="9">
        <f>F140/$D138/4/1.73/(2^$AZ$3)*100</f>
        <v>0.11107936191507854</v>
      </c>
      <c r="AV60" s="9">
        <f>G140/$D138/4/1.73/(2^$AZ$3)*100</f>
        <v>0.10791394401572461</v>
      </c>
      <c r="AW60" s="9">
        <f>H140/$D138/4/1.73/(2^$AZ$3)*100</f>
        <v>0.10868002819803058</v>
      </c>
    </row>
    <row r="61" spans="3:49" ht="15">
      <c r="C61" s="56" t="str">
        <f>C48</f>
        <v>aver</v>
      </c>
      <c r="D61" s="131">
        <f>AVERAGE(D51:D60)</f>
        <v>195.4</v>
      </c>
      <c r="E61" s="131">
        <f>AVERAGE(E51:E60)</f>
        <v>189.7</v>
      </c>
      <c r="F61" s="131">
        <f>AVERAGE(F51:F60)</f>
        <v>192.7</v>
      </c>
      <c r="G61" s="101"/>
      <c r="H61" s="132">
        <f>AVERAGE(H51:H60)</f>
        <v>-9.28</v>
      </c>
      <c r="I61" s="132">
        <f>AVERAGE(I51:I60)</f>
        <v>-6.969999999999999</v>
      </c>
      <c r="J61" s="132">
        <f>AVERAGE(J51:J60)</f>
        <v>-8.120000000000001</v>
      </c>
      <c r="L61" s="132">
        <f aca="true" t="shared" si="32" ref="L61:S61">AVERAGE(L51:L60)</f>
        <v>254.4</v>
      </c>
      <c r="M61" s="132">
        <f t="shared" si="32"/>
        <v>252.4</v>
      </c>
      <c r="N61" s="132">
        <f t="shared" si="32"/>
        <v>251</v>
      </c>
      <c r="O61" s="132">
        <f t="shared" si="32"/>
        <v>251.8</v>
      </c>
      <c r="P61" s="132">
        <f t="shared" si="32"/>
        <v>246.5</v>
      </c>
      <c r="Q61" s="132">
        <f t="shared" si="32"/>
        <v>240.9</v>
      </c>
      <c r="R61" s="132">
        <f t="shared" si="32"/>
        <v>228.3</v>
      </c>
      <c r="S61" s="132">
        <f t="shared" si="32"/>
        <v>185.8</v>
      </c>
      <c r="T61" s="133"/>
      <c r="U61" s="132">
        <f aca="true" t="shared" si="33" ref="U61:AB61">AVERAGE(U51:U60)</f>
        <v>0</v>
      </c>
      <c r="V61" s="132">
        <f t="shared" si="33"/>
        <v>0</v>
      </c>
      <c r="W61" s="132">
        <f t="shared" si="33"/>
        <v>0</v>
      </c>
      <c r="X61" s="132">
        <f t="shared" si="33"/>
        <v>0</v>
      </c>
      <c r="Y61" s="132">
        <f t="shared" si="33"/>
        <v>0</v>
      </c>
      <c r="Z61" s="132">
        <f t="shared" si="33"/>
        <v>0</v>
      </c>
      <c r="AA61" s="132">
        <f t="shared" si="33"/>
        <v>0</v>
      </c>
      <c r="AB61" s="132">
        <f t="shared" si="33"/>
        <v>0</v>
      </c>
      <c r="AL61" s="56"/>
      <c r="AQ61" s="100"/>
      <c r="AS61" s="56">
        <f>D142</f>
        <v>20</v>
      </c>
      <c r="AT61" s="56">
        <f>AS12/1000</f>
        <v>0.05</v>
      </c>
      <c r="AU61" s="9">
        <f>F142/$D142/4/1.73/(2^$AZ$3)*100</f>
        <v>0.13740709934826473</v>
      </c>
      <c r="AV61" s="9">
        <f>G142/$D142/4/1.73/(2^$AZ$3)*100</f>
        <v>0.13639564083486866</v>
      </c>
      <c r="AW61" s="9">
        <f>H142/$D142/4/1.73/(2^$AZ$3)*100</f>
        <v>0.27513700934570895</v>
      </c>
    </row>
    <row r="62" spans="3:49" ht="15">
      <c r="C62" s="56" t="str">
        <f>C49</f>
        <v>uA</v>
      </c>
      <c r="D62" s="7">
        <f>STDEV(D51:D60)/3.16</f>
        <v>0.2212676894879592</v>
      </c>
      <c r="E62" s="7">
        <f>STDEV(E51:E60)/3.16</f>
        <v>0.30021623355985766</v>
      </c>
      <c r="F62" s="7">
        <f>STDEV(F51:F60)/3.16</f>
        <v>0.26052930454018774</v>
      </c>
      <c r="G62" s="101"/>
      <c r="H62" s="7">
        <f>STDEV(H51:H60)/3.16</f>
        <v>0.27740811094643747</v>
      </c>
      <c r="I62" s="7">
        <f>STDEV(I51:I60)/3.16</f>
        <v>0.5800824638519287</v>
      </c>
      <c r="J62" s="7">
        <f>STDEV(J51:J60)/3.16</f>
        <v>0.5040825688649687</v>
      </c>
      <c r="L62" s="10">
        <f>STDEV(L51:L60)/3.16</f>
        <v>0.2212676894879592</v>
      </c>
      <c r="M62" s="10">
        <f aca="true" t="shared" si="34" ref="M62:S62">STDEV(M51:M60)/3.16</f>
        <v>0.266858874276298</v>
      </c>
      <c r="N62" s="10">
        <f t="shared" si="34"/>
        <v>0.29835729163989344</v>
      </c>
      <c r="O62" s="10">
        <f t="shared" si="34"/>
        <v>0.24962361953954923</v>
      </c>
      <c r="P62" s="10">
        <f t="shared" si="34"/>
        <v>0.16678679642238287</v>
      </c>
      <c r="Q62" s="10">
        <f t="shared" si="34"/>
        <v>0.2770870366368324</v>
      </c>
      <c r="R62" s="10">
        <f t="shared" si="34"/>
        <v>0.30021623355985766</v>
      </c>
      <c r="S62" s="10">
        <f t="shared" si="34"/>
        <v>0.24962361953954923</v>
      </c>
      <c r="T62" s="92"/>
      <c r="U62" s="10">
        <f>STDEV(U51:U60)/3.16</f>
        <v>0</v>
      </c>
      <c r="V62" s="10">
        <f aca="true" t="shared" si="35" ref="V62:AB62">STDEV(V51:V60)/3.16</f>
        <v>0</v>
      </c>
      <c r="W62" s="10">
        <f t="shared" si="35"/>
        <v>0</v>
      </c>
      <c r="X62" s="10">
        <f t="shared" si="35"/>
        <v>0</v>
      </c>
      <c r="Y62" s="10">
        <f t="shared" si="35"/>
        <v>0</v>
      </c>
      <c r="Z62" s="10">
        <f t="shared" si="35"/>
        <v>0</v>
      </c>
      <c r="AA62" s="10">
        <f t="shared" si="35"/>
        <v>0</v>
      </c>
      <c r="AB62" s="10">
        <f t="shared" si="35"/>
        <v>0</v>
      </c>
      <c r="AL62" s="56"/>
      <c r="AQ62" s="100"/>
      <c r="AS62" s="56">
        <f>D144</f>
        <v>0</v>
      </c>
      <c r="AT62" s="56">
        <f>AT61</f>
        <v>0.05</v>
      </c>
      <c r="AU62" s="9">
        <f>F144/$D142/4/1.73/(2^$AZ$3)*100</f>
        <v>0.13796295033394843</v>
      </c>
      <c r="AV62" s="9">
        <f>G144/$D142/4/1.73/(2^$AZ$3)*100</f>
        <v>0.13468020554405447</v>
      </c>
      <c r="AW62" s="9">
        <f>H144/$D142/4/1.73/(2^$AZ$3)*100</f>
        <v>0.1387081265906855</v>
      </c>
    </row>
    <row r="63" spans="7:43" ht="15">
      <c r="G63" s="101"/>
      <c r="H63" s="89"/>
      <c r="I63" s="8"/>
      <c r="J63" s="8"/>
      <c r="L63" s="10"/>
      <c r="M63" s="10"/>
      <c r="N63" s="10"/>
      <c r="O63" s="10"/>
      <c r="P63" s="10"/>
      <c r="Q63" s="10"/>
      <c r="R63" s="10"/>
      <c r="S63" s="10"/>
      <c r="T63" s="92"/>
      <c r="U63" s="10"/>
      <c r="V63" s="10"/>
      <c r="W63" s="10"/>
      <c r="X63" s="10"/>
      <c r="Y63" s="10"/>
      <c r="Z63" s="10"/>
      <c r="AA63" s="10"/>
      <c r="AL63" s="56"/>
      <c r="AQ63" s="100"/>
    </row>
    <row r="64" spans="3:43" ht="15">
      <c r="C64" s="122" t="s">
        <v>61</v>
      </c>
      <c r="D64" s="122"/>
      <c r="E64" s="142" t="s">
        <v>60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21"/>
      <c r="AD64" s="121"/>
      <c r="AE64" s="142" t="str">
        <f>E64</f>
        <v>nastavena uroven generatora mV</v>
      </c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00"/>
    </row>
    <row r="65" spans="3:43" ht="15">
      <c r="C65" s="55">
        <v>20</v>
      </c>
      <c r="D65" s="142">
        <v>50</v>
      </c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21"/>
      <c r="AD65" s="121"/>
      <c r="AE65" s="142">
        <f>D65</f>
        <v>50</v>
      </c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00"/>
    </row>
    <row r="66" spans="3:43" ht="15">
      <c r="C66" s="128" t="s">
        <v>57</v>
      </c>
      <c r="D66" s="8">
        <v>49.6</v>
      </c>
      <c r="E66" s="8">
        <v>49.1</v>
      </c>
      <c r="F66" s="8">
        <v>49.3</v>
      </c>
      <c r="G66" s="56"/>
      <c r="H66" s="8">
        <v>-4.3</v>
      </c>
      <c r="I66" s="8">
        <v>-3.5</v>
      </c>
      <c r="J66" s="8">
        <v>-2.6</v>
      </c>
      <c r="K66" s="56">
        <v>1</v>
      </c>
      <c r="L66" s="8">
        <v>51.7</v>
      </c>
      <c r="M66" s="8">
        <v>49.8</v>
      </c>
      <c r="N66" s="8">
        <v>49.3</v>
      </c>
      <c r="O66" s="8">
        <v>51.3</v>
      </c>
      <c r="P66" s="8">
        <v>47.6</v>
      </c>
      <c r="Q66" s="8">
        <v>47.2</v>
      </c>
      <c r="R66" s="8">
        <v>43.9</v>
      </c>
      <c r="S66" s="56">
        <v>38.4</v>
      </c>
      <c r="U66" s="72">
        <v>0</v>
      </c>
      <c r="V66" s="72">
        <v>0</v>
      </c>
      <c r="W66" s="72">
        <v>0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E66" s="9">
        <v>49.7301</v>
      </c>
      <c r="AF66" s="9">
        <v>49.7301</v>
      </c>
      <c r="AG66" s="9">
        <v>51.1599</v>
      </c>
      <c r="AH66" s="56">
        <v>1</v>
      </c>
      <c r="AI66" s="7">
        <v>51.36</v>
      </c>
      <c r="AJ66" s="7">
        <v>51.07</v>
      </c>
      <c r="AK66" s="7">
        <v>51.81</v>
      </c>
      <c r="AL66" s="7">
        <v>52.43</v>
      </c>
      <c r="AM66" s="7">
        <v>51.48</v>
      </c>
      <c r="AN66" s="7">
        <v>50.59</v>
      </c>
      <c r="AO66" s="7">
        <v>50.11</v>
      </c>
      <c r="AP66" s="56">
        <v>49.7</v>
      </c>
      <c r="AQ66" s="100"/>
    </row>
    <row r="67" spans="3:43" ht="15">
      <c r="C67" s="128"/>
      <c r="D67" s="8">
        <v>49.1</v>
      </c>
      <c r="E67" s="8">
        <v>48.1</v>
      </c>
      <c r="F67" s="8">
        <v>47.1</v>
      </c>
      <c r="G67" s="56"/>
      <c r="H67" s="8">
        <v>-1.1</v>
      </c>
      <c r="I67" s="8">
        <v>-4.9</v>
      </c>
      <c r="J67" s="8">
        <v>-3.5</v>
      </c>
      <c r="K67" s="56">
        <v>2</v>
      </c>
      <c r="L67" s="8">
        <v>49.6</v>
      </c>
      <c r="M67" s="8">
        <v>51.4</v>
      </c>
      <c r="N67" s="8">
        <v>50.6</v>
      </c>
      <c r="O67" s="8">
        <v>51.3</v>
      </c>
      <c r="P67" s="8">
        <v>49</v>
      </c>
      <c r="Q67" s="8">
        <v>47.3</v>
      </c>
      <c r="R67" s="8">
        <v>46.2</v>
      </c>
      <c r="S67" s="56">
        <v>36.2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E67" s="9">
        <v>49.7302</v>
      </c>
      <c r="AF67" s="9">
        <v>49.7302</v>
      </c>
      <c r="AG67" s="9">
        <v>51.16</v>
      </c>
      <c r="AH67" s="56">
        <v>2</v>
      </c>
      <c r="AI67" s="7">
        <v>51.9</v>
      </c>
      <c r="AJ67" s="7">
        <v>51.04</v>
      </c>
      <c r="AK67" s="7">
        <v>51.36</v>
      </c>
      <c r="AL67" s="7">
        <v>52.06</v>
      </c>
      <c r="AM67" s="7">
        <v>50.62</v>
      </c>
      <c r="AN67" s="7">
        <v>50.56</v>
      </c>
      <c r="AO67" s="7">
        <v>50.26</v>
      </c>
      <c r="AP67" s="56">
        <v>49.7</v>
      </c>
      <c r="AQ67" s="100"/>
    </row>
    <row r="68" spans="3:48" ht="15">
      <c r="C68" s="128"/>
      <c r="D68" s="8">
        <v>47.1</v>
      </c>
      <c r="E68" s="8">
        <v>46.6</v>
      </c>
      <c r="F68" s="8">
        <v>46.5</v>
      </c>
      <c r="G68" s="56"/>
      <c r="H68" s="8">
        <v>-0.8</v>
      </c>
      <c r="I68" s="8">
        <v>-1.7</v>
      </c>
      <c r="J68" s="8">
        <v>-2</v>
      </c>
      <c r="K68" s="56">
        <v>3</v>
      </c>
      <c r="L68" s="8">
        <v>50.4</v>
      </c>
      <c r="M68" s="8">
        <v>51</v>
      </c>
      <c r="N68" s="8">
        <v>50.6</v>
      </c>
      <c r="O68" s="8">
        <v>51.3</v>
      </c>
      <c r="P68" s="8">
        <v>49.6</v>
      </c>
      <c r="Q68" s="8">
        <v>47.9</v>
      </c>
      <c r="R68" s="8">
        <v>45.4</v>
      </c>
      <c r="S68" s="56">
        <v>36.8</v>
      </c>
      <c r="AE68" s="9">
        <v>49.7302</v>
      </c>
      <c r="AF68" s="9">
        <v>49.7302</v>
      </c>
      <c r="AG68" s="9">
        <v>51.1602</v>
      </c>
      <c r="AH68" s="56">
        <v>3</v>
      </c>
      <c r="AI68" s="7">
        <v>51.55</v>
      </c>
      <c r="AJ68" s="7">
        <v>50.91</v>
      </c>
      <c r="AK68" s="7">
        <v>51.25</v>
      </c>
      <c r="AL68" s="7">
        <v>52.29</v>
      </c>
      <c r="AM68" s="7">
        <v>50.82</v>
      </c>
      <c r="AN68" s="7">
        <v>50.82</v>
      </c>
      <c r="AO68" s="7">
        <v>50.21</v>
      </c>
      <c r="AQ68" s="100"/>
      <c r="AV68" s="9"/>
    </row>
    <row r="69" spans="3:48" ht="15">
      <c r="C69" s="128"/>
      <c r="D69" s="8">
        <v>49.4</v>
      </c>
      <c r="E69" s="8">
        <v>47.9</v>
      </c>
      <c r="F69" s="8">
        <v>46.7</v>
      </c>
      <c r="G69" s="56"/>
      <c r="H69" s="8">
        <v>-3.7</v>
      </c>
      <c r="I69" s="8">
        <v>-3.1</v>
      </c>
      <c r="J69" s="8">
        <v>-3.4</v>
      </c>
      <c r="K69" s="56">
        <v>4</v>
      </c>
      <c r="L69" s="8">
        <v>51.4</v>
      </c>
      <c r="M69" s="8">
        <v>51</v>
      </c>
      <c r="N69" s="8">
        <v>50.3</v>
      </c>
      <c r="O69" s="8">
        <v>50.1</v>
      </c>
      <c r="P69" s="8">
        <v>49.3</v>
      </c>
      <c r="Q69" s="8">
        <v>49.6</v>
      </c>
      <c r="R69" s="8">
        <v>44.6</v>
      </c>
      <c r="S69" s="56">
        <v>36.3</v>
      </c>
      <c r="AE69" s="9">
        <v>49.7299</v>
      </c>
      <c r="AF69" s="9">
        <v>49.7299</v>
      </c>
      <c r="AG69" s="9">
        <v>51.16</v>
      </c>
      <c r="AH69" s="56">
        <v>4</v>
      </c>
      <c r="AI69" s="7">
        <v>51.2</v>
      </c>
      <c r="AJ69" s="7">
        <v>51.01</v>
      </c>
      <c r="AK69" s="7">
        <v>51.91</v>
      </c>
      <c r="AL69" s="7">
        <v>52.58</v>
      </c>
      <c r="AM69" s="7">
        <v>51.19</v>
      </c>
      <c r="AN69" s="7">
        <v>50.34</v>
      </c>
      <c r="AO69" s="7">
        <v>50.52</v>
      </c>
      <c r="AQ69" s="100"/>
      <c r="AV69" s="53" t="s">
        <v>74</v>
      </c>
    </row>
    <row r="70" spans="3:58" ht="15">
      <c r="C70" s="128"/>
      <c r="D70" s="8">
        <v>47.3</v>
      </c>
      <c r="E70" s="8">
        <v>49.3</v>
      </c>
      <c r="F70" s="8">
        <v>46.7</v>
      </c>
      <c r="G70" s="56"/>
      <c r="H70" s="8">
        <v>-2.3</v>
      </c>
      <c r="I70" s="8">
        <v>-4.9</v>
      </c>
      <c r="J70" s="8">
        <v>-3.2</v>
      </c>
      <c r="K70" s="56">
        <v>5</v>
      </c>
      <c r="L70" s="8">
        <v>52.1</v>
      </c>
      <c r="M70" s="8">
        <v>48.8</v>
      </c>
      <c r="N70" s="8">
        <v>49.1</v>
      </c>
      <c r="O70" s="8">
        <v>49.5</v>
      </c>
      <c r="P70" s="8">
        <v>50</v>
      </c>
      <c r="Q70" s="8">
        <v>48.1</v>
      </c>
      <c r="R70" s="8">
        <v>46.6</v>
      </c>
      <c r="S70" s="56">
        <v>37</v>
      </c>
      <c r="AE70" s="9">
        <v>49.73</v>
      </c>
      <c r="AF70" s="9">
        <v>49.73</v>
      </c>
      <c r="AG70" s="9">
        <v>51.16</v>
      </c>
      <c r="AH70" s="56">
        <v>5</v>
      </c>
      <c r="AI70" s="7">
        <v>51.98</v>
      </c>
      <c r="AJ70" s="7">
        <v>51.05</v>
      </c>
      <c r="AK70" s="7">
        <v>51.67</v>
      </c>
      <c r="AL70" s="7">
        <v>52.52</v>
      </c>
      <c r="AM70" s="7">
        <v>51.35</v>
      </c>
      <c r="AN70" s="7">
        <v>50.52</v>
      </c>
      <c r="AO70" s="7">
        <v>50.55</v>
      </c>
      <c r="AQ70" s="100"/>
      <c r="AU70" s="130">
        <f aca="true" t="shared" si="36" ref="AU70:AW75">(AU57^2+$BC$43^2+AY49^2)^0.5</f>
        <v>0.12685231935025976</v>
      </c>
      <c r="AV70" s="130">
        <f t="shared" si="36"/>
        <v>0.12444019288173844</v>
      </c>
      <c r="AW70" s="130">
        <f t="shared" si="36"/>
        <v>0.12490834693353192</v>
      </c>
      <c r="AX70" s="10"/>
      <c r="AY70" s="36">
        <f aca="true" t="shared" si="37" ref="AY70:BF70">($BE$41+$BE$40+$BE$42+(AY15*AY21)^2+(AY34*AY21)^2)^0.5</f>
        <v>1.536406971034914</v>
      </c>
      <c r="AZ70" s="36">
        <f t="shared" si="37"/>
        <v>1.5369598267607893</v>
      </c>
      <c r="BA70" s="36">
        <f t="shared" si="37"/>
        <v>1.5346517828761967</v>
      </c>
      <c r="BB70" s="36">
        <f t="shared" si="37"/>
        <v>1.5346341345037924</v>
      </c>
      <c r="BC70" s="36">
        <f t="shared" si="37"/>
        <v>1.5340702411422387</v>
      </c>
      <c r="BD70" s="36">
        <f t="shared" si="37"/>
        <v>1.481619500929667</v>
      </c>
      <c r="BE70" s="36">
        <f t="shared" si="37"/>
        <v>1.479735134079611</v>
      </c>
      <c r="BF70" s="36">
        <f t="shared" si="37"/>
        <v>1.4727747059966654</v>
      </c>
    </row>
    <row r="71" spans="3:58" ht="15">
      <c r="C71" s="128"/>
      <c r="D71" s="8">
        <v>48.9</v>
      </c>
      <c r="E71" s="8">
        <v>48.1</v>
      </c>
      <c r="F71" s="8">
        <v>46.9</v>
      </c>
      <c r="G71" s="56"/>
      <c r="H71" s="8">
        <v>-4.9</v>
      </c>
      <c r="I71" s="8">
        <v>-2.8</v>
      </c>
      <c r="J71" s="8">
        <v>-4.4</v>
      </c>
      <c r="K71" s="56">
        <v>6</v>
      </c>
      <c r="L71" s="8">
        <v>50.8</v>
      </c>
      <c r="M71" s="8">
        <v>50.2</v>
      </c>
      <c r="N71" s="8">
        <v>50.4</v>
      </c>
      <c r="O71" s="8">
        <v>51.2</v>
      </c>
      <c r="P71" s="8">
        <v>49.4</v>
      </c>
      <c r="Q71" s="8">
        <v>48.8</v>
      </c>
      <c r="R71" s="8">
        <v>46.1</v>
      </c>
      <c r="S71" s="56">
        <v>38.2</v>
      </c>
      <c r="AE71" s="9">
        <v>49.7301</v>
      </c>
      <c r="AF71" s="9">
        <v>49.7301</v>
      </c>
      <c r="AG71" s="9">
        <v>51.1599</v>
      </c>
      <c r="AH71" s="56">
        <v>6</v>
      </c>
      <c r="AI71" s="7">
        <v>51.37</v>
      </c>
      <c r="AJ71" s="7">
        <v>51.41</v>
      </c>
      <c r="AK71" s="7">
        <v>51.99</v>
      </c>
      <c r="AL71" s="7">
        <v>52.34</v>
      </c>
      <c r="AM71" s="7">
        <v>51.04</v>
      </c>
      <c r="AN71" s="7">
        <v>50.69</v>
      </c>
      <c r="AO71" s="7">
        <v>50.59</v>
      </c>
      <c r="AQ71" s="100"/>
      <c r="AU71" s="130">
        <f t="shared" si="36"/>
        <v>0.1268644204970316</v>
      </c>
      <c r="AV71" s="130">
        <f t="shared" si="36"/>
        <v>0.12444279287374826</v>
      </c>
      <c r="AW71" s="130">
        <f t="shared" si="36"/>
        <v>0.12026214115258292</v>
      </c>
      <c r="AX71" s="10"/>
      <c r="AY71" s="36">
        <f aca="true" t="shared" si="38" ref="AY71:BF71">($BE$41+$BE$40+$BE$42+(AY15*AY22)^2+(AY35*AY22)^2)^0.5</f>
        <v>1.5356249332895755</v>
      </c>
      <c r="AZ71" s="36">
        <f t="shared" si="38"/>
        <v>1.536727795504489</v>
      </c>
      <c r="BA71" s="36">
        <f t="shared" si="38"/>
        <v>1.534510641201275</v>
      </c>
      <c r="BB71" s="36">
        <f t="shared" si="38"/>
        <v>1.5352527897895083</v>
      </c>
      <c r="BC71" s="36">
        <f t="shared" si="38"/>
        <v>1.5344224802470667</v>
      </c>
      <c r="BD71" s="36">
        <f t="shared" si="38"/>
        <v>1.481126147202322</v>
      </c>
      <c r="BE71" s="36">
        <f t="shared" si="38"/>
        <v>1.4800880762300095</v>
      </c>
      <c r="BF71" s="36">
        <f t="shared" si="38"/>
        <v>1.472761890946869</v>
      </c>
    </row>
    <row r="72" spans="3:58" ht="15">
      <c r="C72" s="128"/>
      <c r="D72" s="8">
        <v>46.9</v>
      </c>
      <c r="E72" s="8">
        <v>48.4</v>
      </c>
      <c r="F72" s="8">
        <v>49.1</v>
      </c>
      <c r="G72" s="56"/>
      <c r="H72" s="8">
        <v>-1.7</v>
      </c>
      <c r="I72" s="8">
        <v>-2.4</v>
      </c>
      <c r="J72" s="8">
        <v>-1.3</v>
      </c>
      <c r="K72" s="56">
        <v>7</v>
      </c>
      <c r="L72" s="8">
        <v>51.7</v>
      </c>
      <c r="M72" s="8">
        <v>48.9</v>
      </c>
      <c r="N72" s="8">
        <v>50.3</v>
      </c>
      <c r="O72" s="8">
        <v>51</v>
      </c>
      <c r="P72" s="8">
        <v>49.2</v>
      </c>
      <c r="Q72" s="8">
        <v>49.1</v>
      </c>
      <c r="R72" s="8">
        <v>45.1</v>
      </c>
      <c r="S72" s="56">
        <v>37.5</v>
      </c>
      <c r="AE72" s="9">
        <v>49.7302</v>
      </c>
      <c r="AF72" s="9">
        <v>49.7302</v>
      </c>
      <c r="AG72" s="9">
        <v>51.16</v>
      </c>
      <c r="AH72" s="56">
        <v>7</v>
      </c>
      <c r="AI72" s="7">
        <v>51.8</v>
      </c>
      <c r="AJ72" s="7">
        <v>50.89</v>
      </c>
      <c r="AK72" s="7">
        <v>51.43</v>
      </c>
      <c r="AL72" s="7">
        <v>52.61</v>
      </c>
      <c r="AM72" s="7">
        <v>50.99</v>
      </c>
      <c r="AN72" s="7">
        <v>50.65</v>
      </c>
      <c r="AO72" s="7">
        <v>50.06</v>
      </c>
      <c r="AQ72" s="100"/>
      <c r="AU72" s="130">
        <f t="shared" si="36"/>
        <v>0.12657635709694998</v>
      </c>
      <c r="AV72" s="130">
        <f t="shared" si="36"/>
        <v>0.12393756673624032</v>
      </c>
      <c r="AW72" s="130">
        <f t="shared" si="36"/>
        <v>0.2575667696022597</v>
      </c>
      <c r="AX72" s="10"/>
      <c r="AY72" s="36">
        <f aca="true" t="shared" si="39" ref="AY72:BF72">($BE$41+$BE$42+$BE$40+(AY16*AY23)^2+(AY34*AY23)^2)^0.5</f>
        <v>1.4529561757542735</v>
      </c>
      <c r="AZ72" s="36">
        <f t="shared" si="39"/>
        <v>1.4529649813203582</v>
      </c>
      <c r="BA72" s="36">
        <f t="shared" si="39"/>
        <v>1.4527787806784103</v>
      </c>
      <c r="BB72" s="36">
        <f t="shared" si="39"/>
        <v>1.4526336105034698</v>
      </c>
      <c r="BC72" s="36">
        <f t="shared" si="39"/>
        <v>1.4527014142012389</v>
      </c>
      <c r="BD72" s="36">
        <f t="shared" si="39"/>
        <v>1.4495448265755402</v>
      </c>
      <c r="BE72" s="36">
        <f t="shared" si="39"/>
        <v>1.4494016504848453</v>
      </c>
      <c r="BF72" s="36">
        <f t="shared" si="39"/>
        <v>1.4485949407037717</v>
      </c>
    </row>
    <row r="73" spans="3:58" ht="15">
      <c r="C73" s="128"/>
      <c r="D73" s="8">
        <v>48.2</v>
      </c>
      <c r="E73" s="8">
        <v>48.9</v>
      </c>
      <c r="F73" s="8">
        <v>48.6</v>
      </c>
      <c r="G73" s="56"/>
      <c r="H73" s="8">
        <v>-2.3</v>
      </c>
      <c r="I73" s="8">
        <v>-2.3</v>
      </c>
      <c r="J73" s="8">
        <v>-4.6</v>
      </c>
      <c r="K73" s="56">
        <v>8</v>
      </c>
      <c r="L73" s="8">
        <v>50.5</v>
      </c>
      <c r="M73" s="8">
        <v>51.6</v>
      </c>
      <c r="N73" s="8">
        <v>51</v>
      </c>
      <c r="O73" s="8">
        <v>49.8</v>
      </c>
      <c r="P73" s="8">
        <v>48.2</v>
      </c>
      <c r="Q73" s="8">
        <v>49.1</v>
      </c>
      <c r="R73" s="8">
        <v>46.6</v>
      </c>
      <c r="S73" s="56">
        <v>38</v>
      </c>
      <c r="AE73" s="9">
        <v>49.7302</v>
      </c>
      <c r="AF73" s="9">
        <v>49.7302</v>
      </c>
      <c r="AG73" s="9">
        <v>51.1602</v>
      </c>
      <c r="AH73" s="56">
        <v>8</v>
      </c>
      <c r="AI73" s="7">
        <v>51.42</v>
      </c>
      <c r="AJ73" s="7">
        <v>51.07</v>
      </c>
      <c r="AK73" s="7">
        <v>52.11</v>
      </c>
      <c r="AL73" s="7">
        <v>51.96</v>
      </c>
      <c r="AM73" s="7">
        <v>51.44</v>
      </c>
      <c r="AN73" s="7">
        <v>50.15</v>
      </c>
      <c r="AO73" s="7">
        <v>50.03</v>
      </c>
      <c r="AQ73" s="100"/>
      <c r="AU73" s="130">
        <f t="shared" si="36"/>
        <v>0.12576320216064837</v>
      </c>
      <c r="AV73" s="130">
        <f t="shared" si="36"/>
        <v>0.12297667367203213</v>
      </c>
      <c r="AW73" s="130">
        <f t="shared" si="36"/>
        <v>0.1236493856004285</v>
      </c>
      <c r="AX73" s="10"/>
      <c r="AY73" s="36">
        <f aca="true" t="shared" si="40" ref="AY73:BF73">($BE$41+$BE$42+$BE$40+(AY16*AY24)^2+(AY35*AY24)^2)^0.5</f>
        <v>1.4529458240028992</v>
      </c>
      <c r="AZ73" s="36">
        <f t="shared" si="40"/>
        <v>1.4529442719617323</v>
      </c>
      <c r="BA73" s="36">
        <f t="shared" si="40"/>
        <v>1.4527992206194729</v>
      </c>
      <c r="BB73" s="36">
        <f t="shared" si="40"/>
        <v>1.4526841747035675</v>
      </c>
      <c r="BC73" s="36">
        <f t="shared" si="40"/>
        <v>1.4527217269319426</v>
      </c>
      <c r="BD73" s="36">
        <f t="shared" si="40"/>
        <v>1.4494386651461004</v>
      </c>
      <c r="BE73" s="36">
        <f t="shared" si="40"/>
        <v>1.4493053191968097</v>
      </c>
      <c r="BF73" s="36">
        <f t="shared" si="40"/>
        <v>1.448441982299665</v>
      </c>
    </row>
    <row r="74" spans="3:58" ht="15">
      <c r="C74" s="128"/>
      <c r="D74" s="8">
        <v>48.4</v>
      </c>
      <c r="E74" s="8">
        <v>48.5</v>
      </c>
      <c r="F74" s="8">
        <v>47</v>
      </c>
      <c r="G74" s="56"/>
      <c r="H74" s="8">
        <v>-1.3</v>
      </c>
      <c r="I74" s="8">
        <v>-3.1</v>
      </c>
      <c r="J74" s="8">
        <v>-4.7</v>
      </c>
      <c r="K74" s="56">
        <v>9</v>
      </c>
      <c r="L74" s="8">
        <v>49.6</v>
      </c>
      <c r="M74" s="8">
        <v>51.1</v>
      </c>
      <c r="N74" s="8">
        <v>49.9</v>
      </c>
      <c r="O74" s="8">
        <v>49</v>
      </c>
      <c r="P74" s="8">
        <v>48.6</v>
      </c>
      <c r="Q74" s="8">
        <v>48.3</v>
      </c>
      <c r="R74" s="8">
        <v>46.1</v>
      </c>
      <c r="S74" s="56">
        <v>37.1</v>
      </c>
      <c r="AE74" s="9">
        <v>49.7299</v>
      </c>
      <c r="AF74" s="9">
        <v>49.7299</v>
      </c>
      <c r="AG74" s="9">
        <v>51.16</v>
      </c>
      <c r="AH74" s="56">
        <v>9</v>
      </c>
      <c r="AI74" s="7">
        <v>51.46</v>
      </c>
      <c r="AJ74" s="7">
        <v>51.54</v>
      </c>
      <c r="AK74" s="7">
        <v>51.22</v>
      </c>
      <c r="AL74" s="7">
        <v>52.42</v>
      </c>
      <c r="AM74" s="7">
        <v>51.27</v>
      </c>
      <c r="AN74" s="7">
        <v>50.16</v>
      </c>
      <c r="AO74" s="7">
        <v>50.61</v>
      </c>
      <c r="AQ74" s="100"/>
      <c r="AU74" s="130">
        <f t="shared" si="36"/>
        <v>0.14952176102220327</v>
      </c>
      <c r="AV74" s="130">
        <f t="shared" si="36"/>
        <v>0.14859281777364716</v>
      </c>
      <c r="AW74" s="130">
        <f t="shared" si="36"/>
        <v>0.2813820195628578</v>
      </c>
      <c r="AX74" s="10"/>
      <c r="AY74" s="36">
        <f aca="true" t="shared" si="41" ref="AY74:BF74">($BE$41+$BE$42+$BE$40+(AY17*AY25)^2+(AY34*AY25)^2)^0.5</f>
        <v>1.4470635696848373</v>
      </c>
      <c r="AZ74" s="36">
        <f t="shared" si="41"/>
        <v>1.44706308658439</v>
      </c>
      <c r="BA74" s="36">
        <f t="shared" si="41"/>
        <v>1.4470497546929866</v>
      </c>
      <c r="BB74" s="36">
        <f t="shared" si="41"/>
        <v>1.4470422999379384</v>
      </c>
      <c r="BC74" s="36">
        <f t="shared" si="41"/>
        <v>1.4470366689014325</v>
      </c>
      <c r="BD74" s="36">
        <f t="shared" si="41"/>
        <v>1.446903197773877</v>
      </c>
      <c r="BE74" s="36">
        <f t="shared" si="41"/>
        <v>1.4468747623390763</v>
      </c>
      <c r="BF74" s="36">
        <f t="shared" si="41"/>
        <v>1.4467869591848592</v>
      </c>
    </row>
    <row r="75" spans="3:58" ht="15">
      <c r="C75" s="128"/>
      <c r="D75" s="8">
        <v>49.8</v>
      </c>
      <c r="E75" s="8">
        <v>46.9</v>
      </c>
      <c r="F75" s="8">
        <v>47.9</v>
      </c>
      <c r="G75" s="56"/>
      <c r="H75" s="8">
        <v>-0.9</v>
      </c>
      <c r="I75" s="8">
        <v>-5.9</v>
      </c>
      <c r="J75" s="8">
        <v>-0.8</v>
      </c>
      <c r="K75" s="56">
        <v>10</v>
      </c>
      <c r="L75" s="8">
        <v>49.5</v>
      </c>
      <c r="M75" s="8">
        <v>49.2</v>
      </c>
      <c r="N75" s="8">
        <v>49.1</v>
      </c>
      <c r="O75" s="8">
        <v>49.5</v>
      </c>
      <c r="P75" s="8">
        <v>47.7</v>
      </c>
      <c r="Q75" s="8">
        <v>48</v>
      </c>
      <c r="R75" s="8">
        <v>44.4</v>
      </c>
      <c r="S75" s="56">
        <v>37.4</v>
      </c>
      <c r="AE75" s="9">
        <v>49.73</v>
      </c>
      <c r="AF75" s="9">
        <v>49.73</v>
      </c>
      <c r="AG75" s="9">
        <v>51.16</v>
      </c>
      <c r="AH75" s="56">
        <v>10</v>
      </c>
      <c r="AI75" s="7">
        <v>51.61</v>
      </c>
      <c r="AJ75" s="7">
        <v>51.61</v>
      </c>
      <c r="AK75" s="7">
        <v>51.4</v>
      </c>
      <c r="AL75" s="7">
        <v>52.27</v>
      </c>
      <c r="AM75" s="7">
        <v>50.87</v>
      </c>
      <c r="AN75" s="7">
        <v>50.32</v>
      </c>
      <c r="AO75" s="7">
        <v>50.65</v>
      </c>
      <c r="AQ75" s="100"/>
      <c r="AU75" s="130">
        <f t="shared" si="36"/>
        <v>0.1500327199889307</v>
      </c>
      <c r="AV75" s="130">
        <f t="shared" si="36"/>
        <v>0.14701981934458946</v>
      </c>
      <c r="AW75" s="130">
        <f t="shared" si="36"/>
        <v>0.1507182125325181</v>
      </c>
      <c r="AX75" s="10"/>
      <c r="AY75" s="36">
        <f aca="true" t="shared" si="42" ref="AY75:BF75">($BE$41+$BE$42+$BE$40+(AY17*AY26)^2+(AY35*AY26)^2)^0.5</f>
        <v>1.4470651172563875</v>
      </c>
      <c r="AZ75" s="36">
        <f t="shared" si="42"/>
        <v>1.4470621211201578</v>
      </c>
      <c r="BA75" s="36">
        <f t="shared" si="42"/>
        <v>1.4470518521351865</v>
      </c>
      <c r="BB75" s="36">
        <f t="shared" si="42"/>
        <v>1.4470430559177518</v>
      </c>
      <c r="BC75" s="36">
        <f t="shared" si="42"/>
        <v>1.4470409973502736</v>
      </c>
      <c r="BD75" s="36">
        <f t="shared" si="42"/>
        <v>1.446890694540217</v>
      </c>
      <c r="BE75" s="36">
        <f t="shared" si="42"/>
        <v>1.4468593674949715</v>
      </c>
      <c r="BF75" s="36">
        <f t="shared" si="42"/>
        <v>1.4467709178886636</v>
      </c>
    </row>
    <row r="76" spans="3:43" ht="15">
      <c r="C76" s="56" t="str">
        <f>C61</f>
        <v>aver</v>
      </c>
      <c r="D76" s="132">
        <f>AVERAGE(D66:D75)</f>
        <v>48.46999999999999</v>
      </c>
      <c r="E76" s="132">
        <f>AVERAGE(E66:E75)</f>
        <v>48.17999999999999</v>
      </c>
      <c r="F76" s="132">
        <f>AVERAGE(F66:F75)</f>
        <v>47.58</v>
      </c>
      <c r="G76" s="56"/>
      <c r="H76" s="132">
        <f>AVERAGE(H66:H75)</f>
        <v>-2.33</v>
      </c>
      <c r="I76" s="132">
        <f>AVERAGE(I66:I75)</f>
        <v>-3.46</v>
      </c>
      <c r="J76" s="132">
        <f>AVERAGE(J66:J75)</f>
        <v>-3.05</v>
      </c>
      <c r="K76" s="56"/>
      <c r="L76" s="132">
        <f aca="true" t="shared" si="43" ref="L76:S76">AVERAGE(L66:L75)</f>
        <v>50.730000000000004</v>
      </c>
      <c r="M76" s="132">
        <f t="shared" si="43"/>
        <v>50.3</v>
      </c>
      <c r="N76" s="132">
        <f t="shared" si="43"/>
        <v>50.06</v>
      </c>
      <c r="O76" s="132">
        <f t="shared" si="43"/>
        <v>50.4</v>
      </c>
      <c r="P76" s="132">
        <f t="shared" si="43"/>
        <v>48.86</v>
      </c>
      <c r="Q76" s="132">
        <f t="shared" si="43"/>
        <v>48.34</v>
      </c>
      <c r="R76" s="132">
        <f t="shared" si="43"/>
        <v>45.50000000000001</v>
      </c>
      <c r="S76" s="132">
        <f t="shared" si="43"/>
        <v>37.29</v>
      </c>
      <c r="T76" s="133"/>
      <c r="U76" s="132">
        <f aca="true" t="shared" si="44" ref="U76:AB76">AVERAGE(U66:U75)</f>
        <v>0</v>
      </c>
      <c r="V76" s="132">
        <f t="shared" si="44"/>
        <v>0</v>
      </c>
      <c r="W76" s="132">
        <f t="shared" si="44"/>
        <v>0</v>
      </c>
      <c r="X76" s="132">
        <f t="shared" si="44"/>
        <v>0</v>
      </c>
      <c r="Y76" s="132">
        <f t="shared" si="44"/>
        <v>0</v>
      </c>
      <c r="Z76" s="132">
        <f t="shared" si="44"/>
        <v>0</v>
      </c>
      <c r="AA76" s="132">
        <f t="shared" si="44"/>
        <v>0</v>
      </c>
      <c r="AB76" s="132">
        <f t="shared" si="44"/>
        <v>0</v>
      </c>
      <c r="AE76" s="134">
        <f>AVERAGE(AE66:AE75)</f>
        <v>49.73008000000001</v>
      </c>
      <c r="AF76" s="134">
        <f>AVERAGE(AF66:AF75)</f>
        <v>49.73008000000001</v>
      </c>
      <c r="AG76" s="134">
        <f>AVERAGE(AG66:AG75)</f>
        <v>51.160019999999996</v>
      </c>
      <c r="AI76" s="134">
        <f aca="true" t="shared" si="45" ref="AI76:AO76">AVERAGE(AI66:AI75)</f>
        <v>51.565</v>
      </c>
      <c r="AJ76" s="134">
        <f t="shared" si="45"/>
        <v>51.160000000000004</v>
      </c>
      <c r="AK76" s="134">
        <f t="shared" si="45"/>
        <v>51.614999999999995</v>
      </c>
      <c r="AL76" s="134">
        <f t="shared" si="45"/>
        <v>52.348</v>
      </c>
      <c r="AM76" s="134">
        <f t="shared" si="45"/>
        <v>51.107</v>
      </c>
      <c r="AN76" s="134">
        <f t="shared" si="45"/>
        <v>50.47999999999999</v>
      </c>
      <c r="AO76" s="134">
        <f t="shared" si="45"/>
        <v>50.359</v>
      </c>
      <c r="AP76" s="134">
        <f>AVERAGE(AP66:AP75)</f>
        <v>49.7</v>
      </c>
      <c r="AQ76" s="100"/>
    </row>
    <row r="77" spans="3:43" ht="15">
      <c r="C77" s="56" t="str">
        <f>C62</f>
        <v>uA</v>
      </c>
      <c r="D77" s="7">
        <f>STDEV(D66:D75)/3.16</f>
        <v>0.3382278323102866</v>
      </c>
      <c r="E77" s="7">
        <f>STDEV(E66:E75)/3.16</f>
        <v>0.27900794030573745</v>
      </c>
      <c r="F77" s="7">
        <f>STDEV(F66:F75)/3.16</f>
        <v>0.3361653979458793</v>
      </c>
      <c r="G77" s="56"/>
      <c r="H77" s="7">
        <f>STDEV(H66:H75)/3.16</f>
        <v>0.4684423264920678</v>
      </c>
      <c r="I77" s="7">
        <f>STDEV(I66:I75)/3.16</f>
        <v>0.42671351489317016</v>
      </c>
      <c r="J77" s="7">
        <f>STDEV(J66:J75)/3.16</f>
        <v>0.43139462123794364</v>
      </c>
      <c r="K77" s="56"/>
      <c r="L77" s="10">
        <f>STDEV(L66:L75)/3.16</f>
        <v>0.3064704547749629</v>
      </c>
      <c r="M77" s="10">
        <f aca="true" t="shared" si="46" ref="M77:S77">STDEV(M66:M75)/3.16</f>
        <v>0.3368928148242412</v>
      </c>
      <c r="N77" s="10">
        <f t="shared" si="46"/>
        <v>0.21473435696202242</v>
      </c>
      <c r="O77" s="10">
        <f t="shared" si="46"/>
        <v>0.28811182033221233</v>
      </c>
      <c r="P77" s="10">
        <f t="shared" si="46"/>
        <v>0.2563095788775534</v>
      </c>
      <c r="Q77" s="10">
        <f t="shared" si="46"/>
        <v>0.2519308901016148</v>
      </c>
      <c r="R77" s="10">
        <f t="shared" si="46"/>
        <v>0.30536107228104603</v>
      </c>
      <c r="S77" s="10">
        <f t="shared" si="46"/>
        <v>0.2393608445740094</v>
      </c>
      <c r="T77" s="92"/>
      <c r="U77" s="10">
        <f>STDEV(U66:U75)/3.16</f>
        <v>0</v>
      </c>
      <c r="V77" s="10">
        <f aca="true" t="shared" si="47" ref="V77:AB77">STDEV(V66:V75)/3.16</f>
        <v>0</v>
      </c>
      <c r="W77" s="10">
        <f t="shared" si="47"/>
        <v>0</v>
      </c>
      <c r="X77" s="10">
        <f t="shared" si="47"/>
        <v>0</v>
      </c>
      <c r="Y77" s="10">
        <f t="shared" si="47"/>
        <v>0</v>
      </c>
      <c r="Z77" s="10">
        <f t="shared" si="47"/>
        <v>0</v>
      </c>
      <c r="AA77" s="10">
        <f t="shared" si="47"/>
        <v>0</v>
      </c>
      <c r="AB77" s="10">
        <f t="shared" si="47"/>
        <v>0</v>
      </c>
      <c r="AE77" s="9">
        <f>STDEV(AE66:AE75)/3.16</f>
        <v>3.890103146593054E-05</v>
      </c>
      <c r="AF77" s="9">
        <f>STDEV(AF66:AF75)/3.16</f>
        <v>3.890103146593054E-05</v>
      </c>
      <c r="AG77" s="9">
        <f>STDEV(AG66:AG75)/3.16</f>
        <v>3.268340376596783E-05</v>
      </c>
      <c r="AI77" s="10">
        <f aca="true" t="shared" si="48" ref="AI77:AO77">STDEV(AI66:AI75)/3.16</f>
        <v>0.08083569477500115</v>
      </c>
      <c r="AJ77" s="10">
        <f t="shared" si="48"/>
        <v>0.08238659995661488</v>
      </c>
      <c r="AK77" s="10">
        <f t="shared" si="48"/>
        <v>0.1027303772850685</v>
      </c>
      <c r="AL77" s="10">
        <f t="shared" si="48"/>
        <v>0.06729263353189248</v>
      </c>
      <c r="AM77" s="10">
        <f t="shared" si="48"/>
        <v>0.0905214498597002</v>
      </c>
      <c r="AN77" s="10">
        <f t="shared" si="48"/>
        <v>0.0719468055072716</v>
      </c>
      <c r="AO77" s="10">
        <f t="shared" si="48"/>
        <v>0.07859109945993145</v>
      </c>
      <c r="AP77" s="10">
        <f>STDEV(AP66:AP75)/3.16</f>
        <v>0</v>
      </c>
      <c r="AQ77" s="100"/>
    </row>
    <row r="78" spans="4:48" ht="15">
      <c r="D78" s="84"/>
      <c r="G78" s="56"/>
      <c r="H78" s="8"/>
      <c r="I78" s="8"/>
      <c r="J78" s="8"/>
      <c r="K78" s="56"/>
      <c r="U78" s="8"/>
      <c r="AQ78" s="100"/>
      <c r="AV78" s="53" t="s">
        <v>76</v>
      </c>
    </row>
    <row r="79" spans="3:58" ht="15">
      <c r="C79" s="128" t="s">
        <v>58</v>
      </c>
      <c r="D79" s="8">
        <v>47.9</v>
      </c>
      <c r="E79" s="8">
        <v>47.6</v>
      </c>
      <c r="F79" s="8">
        <v>50</v>
      </c>
      <c r="G79" s="56"/>
      <c r="H79" s="8">
        <v>-3.8</v>
      </c>
      <c r="I79" s="8">
        <v>-0.9</v>
      </c>
      <c r="J79" s="8">
        <v>-3.4</v>
      </c>
      <c r="K79" s="56">
        <v>1</v>
      </c>
      <c r="L79" s="8">
        <v>50.2</v>
      </c>
      <c r="M79" s="8">
        <v>48.9</v>
      </c>
      <c r="N79" s="8">
        <v>50.7</v>
      </c>
      <c r="O79" s="8">
        <v>50.8</v>
      </c>
      <c r="P79" s="8">
        <v>49.2</v>
      </c>
      <c r="Q79" s="8">
        <v>46.3</v>
      </c>
      <c r="R79" s="8">
        <v>44.4</v>
      </c>
      <c r="S79" s="56">
        <v>36</v>
      </c>
      <c r="U79" s="72">
        <v>0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72">
        <v>0</v>
      </c>
      <c r="AB79" s="72">
        <v>0</v>
      </c>
      <c r="AQ79" s="100"/>
      <c r="AU79" s="130">
        <f>((D21*D20/(D20^2-H20^2)^0.5)^2+(H21*H20/(D20^2-H20^2)^0.5)^2)^0.5</f>
        <v>0.2607772101953869</v>
      </c>
      <c r="AV79" s="130">
        <f>((E21*E20/(E20^2-I20^2)^0.5)^2+(I21*I20/(E20^2-I20^2)^0.5)^2)^0.5</f>
        <v>0.22410431556355323</v>
      </c>
      <c r="AW79" s="130">
        <f>((F21*F20/(F20^2-J20^2)^0.5)^2+(J21*J20/(F20^2-J20^2)^0.5)^2)^0.5</f>
        <v>0.2774671614923024</v>
      </c>
      <c r="AY79" s="36">
        <f aca="true" t="shared" si="49" ref="AY79:BF79">((L21*L20/(L20^2-U20^2)^0.5)^2+(U21*U20/(L20^2-U20^2)^0.5)^2)^0.5</f>
        <v>0.233501514991336</v>
      </c>
      <c r="AZ79" s="36">
        <f t="shared" si="49"/>
        <v>0.24962361954006815</v>
      </c>
      <c r="BA79" s="36">
        <f t="shared" si="49"/>
        <v>0.26685887427581256</v>
      </c>
      <c r="BB79" s="36">
        <f t="shared" si="49"/>
        <v>0.2496236195400682</v>
      </c>
      <c r="BC79" s="36">
        <f t="shared" si="49"/>
        <v>0.17963487727770466</v>
      </c>
      <c r="BD79" s="36">
        <f t="shared" si="49"/>
        <v>0.2908027162888232</v>
      </c>
      <c r="BE79" s="36">
        <f t="shared" si="49"/>
        <v>0.26052930454068496</v>
      </c>
      <c r="BF79" s="36">
        <f t="shared" si="49"/>
        <v>0.25838499396447023</v>
      </c>
    </row>
    <row r="80" spans="3:58" ht="15">
      <c r="C80" s="128"/>
      <c r="D80" s="72">
        <v>48.4</v>
      </c>
      <c r="E80" s="8">
        <v>48.4</v>
      </c>
      <c r="F80" s="8">
        <v>49.1</v>
      </c>
      <c r="H80" s="8">
        <v>-4.1</v>
      </c>
      <c r="I80" s="8">
        <v>-0.9</v>
      </c>
      <c r="J80" s="8">
        <v>-5.6</v>
      </c>
      <c r="K80" s="56">
        <v>2</v>
      </c>
      <c r="L80" s="8">
        <v>50.5</v>
      </c>
      <c r="M80" s="8">
        <v>50.1</v>
      </c>
      <c r="N80" s="8">
        <v>49.8</v>
      </c>
      <c r="O80" s="8">
        <v>51.6</v>
      </c>
      <c r="P80" s="8">
        <v>48.1</v>
      </c>
      <c r="Q80" s="8">
        <v>47.1</v>
      </c>
      <c r="R80" s="8">
        <v>43.8</v>
      </c>
      <c r="S80" s="56">
        <v>34.9</v>
      </c>
      <c r="U80" s="72">
        <v>0</v>
      </c>
      <c r="V80" s="72">
        <v>0</v>
      </c>
      <c r="W80" s="72">
        <v>0</v>
      </c>
      <c r="X80" s="72">
        <v>0</v>
      </c>
      <c r="Y80" s="72">
        <v>0</v>
      </c>
      <c r="Z80" s="72">
        <v>0</v>
      </c>
      <c r="AA80" s="72">
        <v>0</v>
      </c>
      <c r="AB80" s="72">
        <v>0</v>
      </c>
      <c r="AQ80" s="100"/>
      <c r="AU80" s="130">
        <f>((D34*D33/(D33^2-H33^2)^0.5)^2+(H34*H33/(D33^2-H33^2)^0.5)^2)^0.5</f>
        <v>0.2225677957904192</v>
      </c>
      <c r="AV80" s="130">
        <f>((E34*E33/(E33^2-I33^2)^0.5)^2+(I34*I33/(E33^2-I33^2)^0.5)^2)^0.5</f>
        <v>0.084550210535305</v>
      </c>
      <c r="AW80" s="130">
        <f>((F34*F33/(F33^2-J33^2)^0.5)^2+(J34*J33/(F33^2-J33^2)^0.5)^2)^0.5</f>
        <v>0.007096507570563824</v>
      </c>
      <c r="AY80" s="36">
        <f aca="true" t="shared" si="50" ref="AY80:BF80">((L34*L33/(L33^2-U33^2)^0.5)^2+(U34*U33/(L33^2-U33^2)^0.5)^2)^0.5</f>
        <v>0.26052930454068496</v>
      </c>
      <c r="AZ80" s="36">
        <f t="shared" si="50"/>
        <v>0.3146926981049852</v>
      </c>
      <c r="BA80" s="36">
        <f t="shared" si="50"/>
        <v>0.2496236195400682</v>
      </c>
      <c r="BB80" s="36">
        <f t="shared" si="50"/>
        <v>0.26052930454068496</v>
      </c>
      <c r="BC80" s="36">
        <f t="shared" si="50"/>
        <v>0.31469269811157125</v>
      </c>
      <c r="BD80" s="36">
        <f t="shared" si="50"/>
        <v>0.21359131573118764</v>
      </c>
      <c r="BE80" s="36">
        <f t="shared" si="50"/>
        <v>0.29080271628882326</v>
      </c>
      <c r="BF80" s="36">
        <f t="shared" si="50"/>
        <v>0.24962361954006812</v>
      </c>
    </row>
    <row r="81" spans="3:58" ht="15">
      <c r="C81" s="128"/>
      <c r="D81" s="72">
        <v>50</v>
      </c>
      <c r="E81" s="8">
        <v>46.9</v>
      </c>
      <c r="F81" s="8">
        <v>50.1</v>
      </c>
      <c r="H81" s="8">
        <v>-2.4</v>
      </c>
      <c r="I81" s="8">
        <v>-1.7</v>
      </c>
      <c r="J81" s="8">
        <v>-2.2</v>
      </c>
      <c r="K81" s="56">
        <v>3</v>
      </c>
      <c r="L81" s="8">
        <v>52</v>
      </c>
      <c r="M81" s="8">
        <v>50.4</v>
      </c>
      <c r="N81" s="8">
        <v>50.6</v>
      </c>
      <c r="O81" s="8">
        <v>51</v>
      </c>
      <c r="P81" s="8">
        <v>49.5</v>
      </c>
      <c r="Q81" s="8">
        <v>48.3</v>
      </c>
      <c r="R81" s="8">
        <v>44.2</v>
      </c>
      <c r="S81" s="56">
        <v>36.6</v>
      </c>
      <c r="AL81" s="56"/>
      <c r="AQ81" s="100"/>
      <c r="AU81" s="130">
        <f>((D49*D48/(D48^2-H48^2)^0.5)^2+(H49*H48/(D48^2-H48^2)^0.5)^2)^0.5</f>
        <v>0.27751669705074267</v>
      </c>
      <c r="AV81" s="130">
        <f>((E49*E48/(E48^2-I48^2)^0.5)^2+(I49*I48/(E48^2-I48^2)^0.5)^2)^0.5</f>
        <v>0.2673904886030326</v>
      </c>
      <c r="AW81" s="130">
        <f>((F49*F48/(F48^2-J48^2)^0.5)^2+(J49*J48/(F48^2-J48^2)^0.5)^2)^0.5</f>
        <v>0.2612151274676621</v>
      </c>
      <c r="AY81" s="36">
        <f aca="true" t="shared" si="51" ref="AY81:BF81">((L49*L48/(L48^2-U48^2)^0.5)^2+(U49*U48/(L48^2-U48^2)^0.5)^2)^0.5</f>
        <v>0.2212676894879592</v>
      </c>
      <c r="AZ81" s="36">
        <f t="shared" si="51"/>
        <v>0.2908027162883778</v>
      </c>
      <c r="BA81" s="36">
        <f t="shared" si="51"/>
        <v>0.266858874276298</v>
      </c>
      <c r="BB81" s="36">
        <f t="shared" si="51"/>
        <v>0.24962361953954923</v>
      </c>
      <c r="BC81" s="36">
        <f t="shared" si="51"/>
        <v>0.23350151499189079</v>
      </c>
      <c r="BD81" s="36">
        <f t="shared" si="51"/>
        <v>0.26052930454018774</v>
      </c>
      <c r="BE81" s="36">
        <f t="shared" si="51"/>
        <v>0.26052930454018774</v>
      </c>
      <c r="BF81" s="36">
        <f t="shared" si="51"/>
        <v>0.2212676894879592</v>
      </c>
    </row>
    <row r="82" spans="3:58" ht="15">
      <c r="C82" s="128"/>
      <c r="D82" s="72">
        <v>49.9</v>
      </c>
      <c r="E82" s="8">
        <v>46.3</v>
      </c>
      <c r="F82" s="8">
        <v>49.8</v>
      </c>
      <c r="H82" s="8">
        <v>-3.2</v>
      </c>
      <c r="I82" s="8">
        <v>-2.2</v>
      </c>
      <c r="J82" s="8">
        <v>-3.6</v>
      </c>
      <c r="K82" s="56">
        <v>4</v>
      </c>
      <c r="L82" s="8">
        <v>49</v>
      </c>
      <c r="M82" s="8">
        <v>49</v>
      </c>
      <c r="N82" s="8">
        <v>50</v>
      </c>
      <c r="O82" s="8">
        <v>50.8</v>
      </c>
      <c r="P82" s="8">
        <v>49</v>
      </c>
      <c r="Q82" s="8">
        <v>48.1</v>
      </c>
      <c r="R82" s="8">
        <v>43.4</v>
      </c>
      <c r="S82" s="56">
        <v>35.9</v>
      </c>
      <c r="AL82" s="56"/>
      <c r="AQ82" s="100"/>
      <c r="AU82" s="130">
        <f>((D62*D61/(D61^2-H61^2)^0.5)^2+(H62*H61/(D61^2-H61^2)^0.5)^2)^0.5</f>
        <v>0.22190997171289817</v>
      </c>
      <c r="AV82" s="130">
        <f>((E62*E61/(E61^2-I61^2)^0.5)^2+(I62*I61/(E61^2-I61^2)^0.5)^2)^0.5</f>
        <v>0.3011752081545249</v>
      </c>
      <c r="AW82" s="130">
        <f>((F62*F61/(F61^2-J61^2)^0.5)^2+(J62*J61/(F61^2-J61^2)^0.5)^2)^0.5</f>
        <v>0.2616261424748822</v>
      </c>
      <c r="AY82" s="36">
        <f aca="true" t="shared" si="52" ref="AY82:BF82">((L62*L61/(L61^2-U61^2)^0.5)^2+(U62*U61/(L61^2-U61^2)^0.5)^2)^0.5</f>
        <v>0.2212676894879592</v>
      </c>
      <c r="AZ82" s="36">
        <f t="shared" si="52"/>
        <v>0.266858874276298</v>
      </c>
      <c r="BA82" s="36">
        <f t="shared" si="52"/>
        <v>0.29835729163989344</v>
      </c>
      <c r="BB82" s="36">
        <f t="shared" si="52"/>
        <v>0.24962361953954923</v>
      </c>
      <c r="BC82" s="36">
        <f t="shared" si="52"/>
        <v>0.16678679642238287</v>
      </c>
      <c r="BD82" s="36">
        <f t="shared" si="52"/>
        <v>0.2770870366368324</v>
      </c>
      <c r="BE82" s="36">
        <f t="shared" si="52"/>
        <v>0.30021623355985766</v>
      </c>
      <c r="BF82" s="36">
        <f t="shared" si="52"/>
        <v>0.2496236195395492</v>
      </c>
    </row>
    <row r="83" spans="3:58" ht="15">
      <c r="C83" s="128"/>
      <c r="D83" s="72">
        <v>50.1</v>
      </c>
      <c r="E83" s="8">
        <v>46.7</v>
      </c>
      <c r="F83" s="8">
        <v>47.6</v>
      </c>
      <c r="H83" s="8">
        <v>-5</v>
      </c>
      <c r="I83" s="8">
        <v>-3.8</v>
      </c>
      <c r="J83" s="8">
        <v>-1.6</v>
      </c>
      <c r="K83" s="56">
        <v>5</v>
      </c>
      <c r="L83" s="8">
        <v>51.2</v>
      </c>
      <c r="M83" s="8">
        <v>51</v>
      </c>
      <c r="N83" s="8">
        <v>50.4</v>
      </c>
      <c r="O83" s="8">
        <v>49.4</v>
      </c>
      <c r="P83" s="8">
        <v>50.1</v>
      </c>
      <c r="Q83" s="8">
        <v>46.5</v>
      </c>
      <c r="R83" s="8">
        <v>43.2</v>
      </c>
      <c r="S83" s="56">
        <v>36.1</v>
      </c>
      <c r="AL83" s="56"/>
      <c r="AQ83" s="100"/>
      <c r="AU83" s="130">
        <f>((D77*D76/(D76^2-H76^2)^0.5)^2+(H77*H76/(D76^2-H76^2)^0.5)^2)^0.5</f>
        <v>0.3393689560298205</v>
      </c>
      <c r="AV83" s="130">
        <f>((E77*E76/(E76^2-I76^2)^0.5)^2+(I77*I76/(E76^2-I76^2)^0.5)^2)^0.5</f>
        <v>0.2814123390396884</v>
      </c>
      <c r="AW83" s="130">
        <f>((F77*F76/(F76^2-J76^2)^0.5)^2+(J77*J76/(F76^2-J76^2)^0.5)^2)^0.5</f>
        <v>0.3379960419347241</v>
      </c>
      <c r="AY83" s="36">
        <f aca="true" t="shared" si="53" ref="AY83:BF83">((L77*L76/(L76^2-U76^2)^0.5)^2+(U77*U76/(L76^2-U76^2)^0.5)^2)^0.5</f>
        <v>0.3064704547749629</v>
      </c>
      <c r="AZ83" s="36">
        <f t="shared" si="53"/>
        <v>0.3368928148242412</v>
      </c>
      <c r="BA83" s="36">
        <f t="shared" si="53"/>
        <v>0.21473435696202242</v>
      </c>
      <c r="BB83" s="36">
        <f t="shared" si="53"/>
        <v>0.28811182033221233</v>
      </c>
      <c r="BC83" s="36">
        <f t="shared" si="53"/>
        <v>0.2563095788775534</v>
      </c>
      <c r="BD83" s="36">
        <f t="shared" si="53"/>
        <v>0.2519308901016148</v>
      </c>
      <c r="BE83" s="36">
        <f t="shared" si="53"/>
        <v>0.30536107228104603</v>
      </c>
      <c r="BF83" s="36">
        <f t="shared" si="53"/>
        <v>0.23936084457400938</v>
      </c>
    </row>
    <row r="84" spans="3:58" ht="15">
      <c r="C84" s="128"/>
      <c r="D84" s="72">
        <v>47.7</v>
      </c>
      <c r="E84" s="8">
        <v>48.2</v>
      </c>
      <c r="F84" s="8">
        <v>49.3</v>
      </c>
      <c r="H84" s="8">
        <v>-2.6</v>
      </c>
      <c r="I84" s="8">
        <v>-3.5</v>
      </c>
      <c r="J84" s="8">
        <v>-3.1</v>
      </c>
      <c r="K84" s="56">
        <v>6</v>
      </c>
      <c r="L84" s="8">
        <v>50.7</v>
      </c>
      <c r="M84" s="8">
        <v>50.9</v>
      </c>
      <c r="N84" s="8">
        <v>49.7</v>
      </c>
      <c r="O84" s="8">
        <v>51.4</v>
      </c>
      <c r="P84" s="8">
        <v>48.6</v>
      </c>
      <c r="Q84" s="8">
        <v>47.6</v>
      </c>
      <c r="R84" s="8">
        <v>44.1</v>
      </c>
      <c r="S84" s="56">
        <v>35.2</v>
      </c>
      <c r="AQ84" s="100"/>
      <c r="AU84" s="130">
        <f>((D90*D89/(D89^2-H89^2)^0.5)^2+(H90*H89/(D89^2-H89^2)^0.5)^2)^0.5</f>
        <v>0.29479515868783335</v>
      </c>
      <c r="AV84" s="130">
        <f>((E90*E89/(E89^2-I89^2)^0.5)^2+(I90*I89/(E89^2-I89^2)^0.5)^2)^0.5</f>
        <v>0.262142286620359</v>
      </c>
      <c r="AW84" s="130">
        <f>((F90*F89/(F89^2-J89^2)^0.5)^2+(J90*J89/(F89^2-J89^2)^0.5)^2)^0.5</f>
        <v>0.23352974757784628</v>
      </c>
      <c r="AY84" s="36">
        <f aca="true" t="shared" si="54" ref="AY84:BF84">((L90*L89/(L89^2-U89^2)^0.5)^2+(U90*U89/(L89^2-U89^2)^0.5)^2)^0.5</f>
        <v>0.28243658574534397</v>
      </c>
      <c r="AZ84" s="36">
        <f t="shared" si="54"/>
        <v>0.2501801946336552</v>
      </c>
      <c r="BA84" s="36">
        <f t="shared" si="54"/>
        <v>0.25362563498140306</v>
      </c>
      <c r="BB84" s="36">
        <f t="shared" si="54"/>
        <v>0.2514888281887305</v>
      </c>
      <c r="BC84" s="36">
        <f t="shared" si="54"/>
        <v>0.18955082769868375</v>
      </c>
      <c r="BD84" s="36">
        <f t="shared" si="54"/>
        <v>0.27091433531642367</v>
      </c>
      <c r="BE84" s="36">
        <f t="shared" si="54"/>
        <v>0.21774461820996185</v>
      </c>
      <c r="BF84" s="36">
        <f t="shared" si="54"/>
        <v>0.20356190140228006</v>
      </c>
    </row>
    <row r="85" spans="3:43" ht="15">
      <c r="C85" s="128"/>
      <c r="D85" s="72">
        <v>48.6</v>
      </c>
      <c r="E85" s="8">
        <v>48.7</v>
      </c>
      <c r="F85" s="8">
        <v>49.5</v>
      </c>
      <c r="H85" s="8">
        <v>-6.5</v>
      </c>
      <c r="I85" s="8">
        <v>-1.5</v>
      </c>
      <c r="J85" s="8">
        <v>-5.6</v>
      </c>
      <c r="K85" s="56">
        <v>7</v>
      </c>
      <c r="L85" s="8">
        <v>51.5</v>
      </c>
      <c r="M85" s="8">
        <v>51.1</v>
      </c>
      <c r="N85" s="8">
        <v>48.7</v>
      </c>
      <c r="O85" s="8">
        <v>50.2</v>
      </c>
      <c r="P85" s="8">
        <v>48.9</v>
      </c>
      <c r="Q85" s="8">
        <v>47.1</v>
      </c>
      <c r="R85" s="8">
        <v>44.5</v>
      </c>
      <c r="S85" s="56">
        <v>35.2</v>
      </c>
      <c r="AQ85" s="100"/>
    </row>
    <row r="86" spans="3:48" ht="15">
      <c r="C86" s="128"/>
      <c r="D86" s="72">
        <v>48</v>
      </c>
      <c r="E86" s="8">
        <v>46.9</v>
      </c>
      <c r="F86" s="8">
        <v>49.6</v>
      </c>
      <c r="H86" s="8">
        <v>-4.6</v>
      </c>
      <c r="I86" s="8">
        <v>-2.9</v>
      </c>
      <c r="J86" s="8">
        <v>-2.1</v>
      </c>
      <c r="K86" s="56">
        <v>8</v>
      </c>
      <c r="L86" s="8">
        <v>51.6</v>
      </c>
      <c r="M86" s="8">
        <v>50.9</v>
      </c>
      <c r="N86" s="8">
        <v>51.2</v>
      </c>
      <c r="O86" s="8">
        <v>49.6</v>
      </c>
      <c r="P86" s="8">
        <v>49.3</v>
      </c>
      <c r="Q86" s="8">
        <v>47.4</v>
      </c>
      <c r="R86" s="8">
        <v>45.3</v>
      </c>
      <c r="S86" s="56">
        <v>35.2</v>
      </c>
      <c r="AQ86" s="100"/>
      <c r="AV86" s="53" t="s">
        <v>75</v>
      </c>
    </row>
    <row r="87" spans="3:58" ht="15">
      <c r="C87" s="128"/>
      <c r="D87" s="72">
        <v>48.1</v>
      </c>
      <c r="E87" s="8">
        <v>48.2</v>
      </c>
      <c r="F87" s="8">
        <v>49.1</v>
      </c>
      <c r="H87" s="8">
        <v>-2.1</v>
      </c>
      <c r="I87" s="8">
        <v>-3.1</v>
      </c>
      <c r="J87" s="8">
        <v>-6.4</v>
      </c>
      <c r="K87" s="56">
        <v>9</v>
      </c>
      <c r="L87" s="8">
        <v>50.1</v>
      </c>
      <c r="M87" s="8">
        <v>50</v>
      </c>
      <c r="N87" s="8">
        <v>49.4</v>
      </c>
      <c r="O87" s="8">
        <v>49.5</v>
      </c>
      <c r="P87" s="8">
        <v>49.7</v>
      </c>
      <c r="Q87" s="8">
        <v>46.5</v>
      </c>
      <c r="R87" s="8">
        <v>44.6</v>
      </c>
      <c r="S87" s="56">
        <v>36.8</v>
      </c>
      <c r="AQ87" s="100"/>
      <c r="AU87" s="130">
        <f>AU79/F134*100</f>
        <v>0.026211493943075457</v>
      </c>
      <c r="AV87" s="130">
        <f>AV79/G134*100</f>
        <v>0.02308684580215998</v>
      </c>
      <c r="AW87" s="130">
        <f>AW79/H134*100</f>
        <v>0.028446280711147756</v>
      </c>
      <c r="AY87" s="36">
        <f aca="true" t="shared" si="55" ref="AY87:BF87">AY79/J134*100</f>
        <v>0.023846151449278596</v>
      </c>
      <c r="AZ87" s="36">
        <f t="shared" si="55"/>
        <v>0.025412157135301656</v>
      </c>
      <c r="BA87" s="36">
        <f t="shared" si="55"/>
        <v>0.027531091950460388</v>
      </c>
      <c r="BB87" s="36">
        <f t="shared" si="55"/>
        <v>0.025755635528277775</v>
      </c>
      <c r="BC87" s="36">
        <f t="shared" si="55"/>
        <v>0.01859574298941042</v>
      </c>
      <c r="BD87" s="36">
        <f t="shared" si="55"/>
        <v>0.030134996506613804</v>
      </c>
      <c r="BE87" s="36">
        <f t="shared" si="55"/>
        <v>0.0285542858988037</v>
      </c>
      <c r="BF87" s="36">
        <f t="shared" si="55"/>
        <v>0.03189938197092226</v>
      </c>
    </row>
    <row r="88" spans="3:58" ht="15">
      <c r="C88" s="128"/>
      <c r="D88" s="72">
        <v>48.8</v>
      </c>
      <c r="E88" s="8">
        <v>47.2</v>
      </c>
      <c r="F88" s="8">
        <v>48.8</v>
      </c>
      <c r="H88" s="8">
        <v>-2.5</v>
      </c>
      <c r="I88" s="8">
        <v>-3.8</v>
      </c>
      <c r="J88" s="8">
        <v>-4.2</v>
      </c>
      <c r="K88" s="56">
        <v>10</v>
      </c>
      <c r="L88" s="8">
        <v>51.3</v>
      </c>
      <c r="M88" s="8">
        <v>50.2</v>
      </c>
      <c r="N88" s="8">
        <v>51.2</v>
      </c>
      <c r="O88" s="8">
        <v>50.1</v>
      </c>
      <c r="P88" s="8">
        <v>48.5</v>
      </c>
      <c r="Q88" s="8">
        <v>48.9</v>
      </c>
      <c r="R88" s="8">
        <v>45.2</v>
      </c>
      <c r="S88" s="56">
        <v>35.5</v>
      </c>
      <c r="AQ88" s="100"/>
      <c r="AU88" s="130">
        <f>AU80/F136*100</f>
        <v>0.022368230241070455</v>
      </c>
      <c r="AV88" s="130">
        <f>AV80/G136*100</f>
        <v>0.008709984375960421</v>
      </c>
      <c r="AW88" s="130">
        <f>AW80/H136*100</f>
        <v>0.0007643273916733294</v>
      </c>
      <c r="AY88" s="36">
        <f aca="true" t="shared" si="56" ref="AY88:BF88">AY80/J136*100</f>
        <v>0.02672643665784622</v>
      </c>
      <c r="AZ88" s="36">
        <f t="shared" si="56"/>
        <v>0.032078766371558126</v>
      </c>
      <c r="BA88" s="36">
        <f t="shared" si="56"/>
        <v>0.025774250855969873</v>
      </c>
      <c r="BB88" s="36">
        <f t="shared" si="56"/>
        <v>0.02678413740523131</v>
      </c>
      <c r="BC88" s="36">
        <f t="shared" si="56"/>
        <v>0.032509576251195375</v>
      </c>
      <c r="BD88" s="36">
        <f t="shared" si="56"/>
        <v>0.0222932173813994</v>
      </c>
      <c r="BE88" s="36">
        <f t="shared" si="56"/>
        <v>0.03170202946569533</v>
      </c>
      <c r="BF88" s="36">
        <f t="shared" si="56"/>
        <v>0.03082534200297211</v>
      </c>
    </row>
    <row r="89" spans="3:58" ht="15">
      <c r="C89" s="56" t="str">
        <f>C61</f>
        <v>aver</v>
      </c>
      <c r="D89" s="132">
        <f>AVERAGE(D79:D88)</f>
        <v>48.75000000000001</v>
      </c>
      <c r="E89" s="132">
        <f>AVERAGE(E79:E88)</f>
        <v>47.50999999999999</v>
      </c>
      <c r="F89" s="132">
        <f>AVERAGE(F79:F88)</f>
        <v>49.290000000000006</v>
      </c>
      <c r="H89" s="132">
        <f>AVERAGE(H79:H88)</f>
        <v>-3.6800000000000006</v>
      </c>
      <c r="I89" s="132">
        <f>AVERAGE(I79:I88)</f>
        <v>-2.43</v>
      </c>
      <c r="J89" s="132">
        <f>AVERAGE(J79:J88)</f>
        <v>-3.7800000000000002</v>
      </c>
      <c r="L89" s="132">
        <f aca="true" t="shared" si="57" ref="L89:S89">AVERAGE(L79:L88)</f>
        <v>50.81</v>
      </c>
      <c r="M89" s="132">
        <f t="shared" si="57"/>
        <v>50.25</v>
      </c>
      <c r="N89" s="132">
        <f t="shared" si="57"/>
        <v>50.169999999999995</v>
      </c>
      <c r="O89" s="132">
        <f t="shared" si="57"/>
        <v>50.440000000000005</v>
      </c>
      <c r="P89" s="132">
        <f t="shared" si="57"/>
        <v>49.089999999999996</v>
      </c>
      <c r="Q89" s="132">
        <f t="shared" si="57"/>
        <v>47.379999999999995</v>
      </c>
      <c r="R89" s="132">
        <f t="shared" si="57"/>
        <v>44.27</v>
      </c>
      <c r="S89" s="132">
        <f t="shared" si="57"/>
        <v>35.739999999999995</v>
      </c>
      <c r="T89" s="133"/>
      <c r="U89" s="132">
        <f aca="true" t="shared" si="58" ref="U89:AB89">AVERAGE(U79:U88)</f>
        <v>0</v>
      </c>
      <c r="V89" s="132">
        <f t="shared" si="58"/>
        <v>0</v>
      </c>
      <c r="W89" s="132">
        <f t="shared" si="58"/>
        <v>0</v>
      </c>
      <c r="X89" s="132">
        <f t="shared" si="58"/>
        <v>0</v>
      </c>
      <c r="Y89" s="132">
        <f t="shared" si="58"/>
        <v>0</v>
      </c>
      <c r="Z89" s="132">
        <f t="shared" si="58"/>
        <v>0</v>
      </c>
      <c r="AA89" s="132">
        <f t="shared" si="58"/>
        <v>0</v>
      </c>
      <c r="AB89" s="132">
        <f t="shared" si="58"/>
        <v>0</v>
      </c>
      <c r="AQ89" s="100"/>
      <c r="AU89" s="130">
        <f>AU81/F138*100</f>
        <v>0.1398710432931288</v>
      </c>
      <c r="AV89" s="130">
        <f>AV81/G138*100</f>
        <v>0.1384656968370014</v>
      </c>
      <c r="AW89" s="130">
        <f>AW81/H138*100</f>
        <v>0.05880978458685679</v>
      </c>
      <c r="AY89" s="36">
        <f aca="true" t="shared" si="59" ref="AY89:BF89">AY81/J138*100</f>
        <v>0.0901587847314641</v>
      </c>
      <c r="AZ89" s="36">
        <f t="shared" si="59"/>
        <v>0.11840983602279316</v>
      </c>
      <c r="BA89" s="36">
        <f t="shared" si="59"/>
        <v>0.11028593390763235</v>
      </c>
      <c r="BB89" s="36">
        <f t="shared" si="59"/>
        <v>0.10439698027667149</v>
      </c>
      <c r="BC89" s="36">
        <f t="shared" si="59"/>
        <v>0.09711021625780443</v>
      </c>
      <c r="BD89" s="36">
        <f t="shared" si="59"/>
        <v>0.10738605355928763</v>
      </c>
      <c r="BE89" s="36">
        <f t="shared" si="59"/>
        <v>0.11258829063966627</v>
      </c>
      <c r="BF89" s="36">
        <f t="shared" si="59"/>
        <v>0.11323832624767616</v>
      </c>
    </row>
    <row r="90" spans="3:58" ht="15">
      <c r="C90" s="56" t="str">
        <f>C62</f>
        <v>uA</v>
      </c>
      <c r="D90" s="7">
        <f>STDEV(D79:D88)/3.16</f>
        <v>0.29204363290931107</v>
      </c>
      <c r="E90" s="7">
        <f>STDEV(E79:E88)/3.16</f>
        <v>0.26114786121254907</v>
      </c>
      <c r="F90" s="7">
        <f>STDEV(F79:F88)/3.16</f>
        <v>0.2293909709593644</v>
      </c>
      <c r="H90" s="7">
        <f>STDEV(H79:H88)/3.16</f>
        <v>0.4432388533946973</v>
      </c>
      <c r="I90" s="7">
        <f>STDEV(I79:I88)/3.16</f>
        <v>0.3608304270580879</v>
      </c>
      <c r="J90" s="7">
        <f>STDEV(J79:J88)/3.16</f>
        <v>0.5208022877036805</v>
      </c>
      <c r="L90" s="10">
        <f>STDEV(L79:L88)/3.16</f>
        <v>0.28243658574534397</v>
      </c>
      <c r="M90" s="10">
        <f aca="true" t="shared" si="60" ref="M90:S90">STDEV(M79:M88)/3.16</f>
        <v>0.2501801946336552</v>
      </c>
      <c r="N90" s="10">
        <f t="shared" si="60"/>
        <v>0.25362563498140306</v>
      </c>
      <c r="O90" s="10">
        <f t="shared" si="60"/>
        <v>0.2514888281887305</v>
      </c>
      <c r="P90" s="10">
        <f t="shared" si="60"/>
        <v>0.18955082769868375</v>
      </c>
      <c r="Q90" s="10">
        <f t="shared" si="60"/>
        <v>0.27091433531642367</v>
      </c>
      <c r="R90" s="10">
        <f t="shared" si="60"/>
        <v>0.21774461820996183</v>
      </c>
      <c r="S90" s="10">
        <f t="shared" si="60"/>
        <v>0.20356190140228006</v>
      </c>
      <c r="T90" s="92"/>
      <c r="U90" s="10">
        <f>STDEV(U79:U88)/3.16</f>
        <v>0</v>
      </c>
      <c r="V90" s="10">
        <f aca="true" t="shared" si="61" ref="V90:AB90">STDEV(V79:V88)/3.16</f>
        <v>0</v>
      </c>
      <c r="W90" s="10">
        <f t="shared" si="61"/>
        <v>0</v>
      </c>
      <c r="X90" s="10">
        <f t="shared" si="61"/>
        <v>0</v>
      </c>
      <c r="Y90" s="10">
        <f t="shared" si="61"/>
        <v>0</v>
      </c>
      <c r="Z90" s="10">
        <f t="shared" si="61"/>
        <v>0</v>
      </c>
      <c r="AA90" s="10">
        <f t="shared" si="61"/>
        <v>0</v>
      </c>
      <c r="AB90" s="10">
        <f t="shared" si="61"/>
        <v>0</v>
      </c>
      <c r="AQ90" s="100"/>
      <c r="AU90" s="130">
        <f>AU82/F140*100</f>
        <v>0.11277098712121601</v>
      </c>
      <c r="AV90" s="130">
        <f>AV82/G140*100</f>
        <v>0.1575417241351621</v>
      </c>
      <c r="AW90" s="130">
        <f>AW82/H140*100</f>
        <v>0.135889323202812</v>
      </c>
      <c r="AY90" s="36">
        <f aca="true" t="shared" si="62" ref="AY90:BF90">AY82/J140*100</f>
        <v>0.09023231770979497</v>
      </c>
      <c r="AZ90" s="36">
        <f t="shared" si="62"/>
        <v>0.10883758484289653</v>
      </c>
      <c r="BA90" s="36">
        <f t="shared" si="62"/>
        <v>0.12309992640999028</v>
      </c>
      <c r="BB90" s="36">
        <f t="shared" si="62"/>
        <v>0.1039621921367495</v>
      </c>
      <c r="BC90" s="36">
        <f t="shared" si="62"/>
        <v>0.06924924078155816</v>
      </c>
      <c r="BD90" s="36">
        <f t="shared" si="62"/>
        <v>0.1163204889118141</v>
      </c>
      <c r="BE90" s="36">
        <f t="shared" si="62"/>
        <v>0.13202121088823995</v>
      </c>
      <c r="BF90" s="36">
        <f t="shared" si="62"/>
        <v>0.13291992520742768</v>
      </c>
    </row>
    <row r="91" spans="21:58" ht="15">
      <c r="U91" s="8"/>
      <c r="AQ91" s="100"/>
      <c r="AU91" s="130">
        <f>AU83/F142*100</f>
        <v>0.697086842053166</v>
      </c>
      <c r="AV91" s="130">
        <f>AV83/G142*100</f>
        <v>0.5823265480791882</v>
      </c>
      <c r="AW91" s="130">
        <f>AW83/H142*100</f>
        <v>0.34672610970002155</v>
      </c>
      <c r="AY91" s="36">
        <f aca="true" t="shared" si="63" ref="AY91:BF91">AY83/J142*100</f>
        <v>0.6233508690632825</v>
      </c>
      <c r="AZ91" s="36">
        <f t="shared" si="63"/>
        <v>0.6855775637448948</v>
      </c>
      <c r="BA91" s="36">
        <f t="shared" si="63"/>
        <v>0.44325391054189783</v>
      </c>
      <c r="BB91" s="36">
        <f t="shared" si="63"/>
        <v>0.5995834103309172</v>
      </c>
      <c r="BC91" s="36">
        <f t="shared" si="63"/>
        <v>0.536740265276639</v>
      </c>
      <c r="BD91" s="36">
        <f t="shared" si="63"/>
        <v>0.5263913290882046</v>
      </c>
      <c r="BE91" s="36">
        <f t="shared" si="63"/>
        <v>0.6764605841276135</v>
      </c>
      <c r="BF91" s="36">
        <f t="shared" si="63"/>
        <v>0.636767343905319</v>
      </c>
    </row>
    <row r="92" spans="20:60" ht="15">
      <c r="T92" s="56"/>
      <c r="V92" s="55"/>
      <c r="AQ92" s="100"/>
      <c r="AU92" s="130">
        <f>AU84/F144*100</f>
        <v>0.6030895709152316</v>
      </c>
      <c r="AV92" s="130">
        <f>AV84/G144*100</f>
        <v>0.5493602821380821</v>
      </c>
      <c r="AW92" s="130">
        <f>AW84/H144*100</f>
        <v>0.47518666898333356</v>
      </c>
      <c r="AY92" s="36">
        <f aca="true" t="shared" si="64" ref="AY92:BF92">AY84/J144*100</f>
        <v>0.5735335277598618</v>
      </c>
      <c r="AZ92" s="36">
        <f t="shared" si="64"/>
        <v>0.5096357601011514</v>
      </c>
      <c r="BA92" s="36">
        <f t="shared" si="64"/>
        <v>0.5223471011871137</v>
      </c>
      <c r="BB92" s="36">
        <f t="shared" si="64"/>
        <v>0.5229327709156002</v>
      </c>
      <c r="BC92" s="36">
        <f t="shared" si="64"/>
        <v>0.39503746680841917</v>
      </c>
      <c r="BD92" s="36">
        <f t="shared" si="64"/>
        <v>0.5776425060051678</v>
      </c>
      <c r="BE92" s="36">
        <f t="shared" si="64"/>
        <v>0.49587715654383147</v>
      </c>
      <c r="BF92" s="36">
        <f t="shared" si="64"/>
        <v>0.5648221459552722</v>
      </c>
      <c r="BH92" s="92"/>
    </row>
    <row r="93" spans="43:60" ht="15">
      <c r="AQ93" s="100"/>
      <c r="BG93" s="92"/>
      <c r="BH93" s="92"/>
    </row>
    <row r="94" spans="1:60" ht="15">
      <c r="A94" s="103" t="s">
        <v>55</v>
      </c>
      <c r="B94" s="103"/>
      <c r="C94" s="100"/>
      <c r="D94" s="100"/>
      <c r="E94" s="145"/>
      <c r="F94" s="145"/>
      <c r="G94" s="145"/>
      <c r="H94" s="145"/>
      <c r="I94" s="145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AQ94" s="100"/>
      <c r="AV94" s="104" t="s">
        <v>54</v>
      </c>
      <c r="BG94" s="92"/>
      <c r="BH94" s="92"/>
    </row>
    <row r="95" spans="9:60" ht="15">
      <c r="I95" s="56"/>
      <c r="J95" s="56"/>
      <c r="K95" s="55"/>
      <c r="L95" s="56"/>
      <c r="M95" s="56"/>
      <c r="N95" s="56"/>
      <c r="O95" s="56"/>
      <c r="P95" s="56"/>
      <c r="Q95" s="56"/>
      <c r="R95" s="56"/>
      <c r="S95" s="55"/>
      <c r="AQ95" s="100"/>
      <c r="AU95" s="139">
        <f>2*(AU87^2+AU70^2)^0.5</f>
        <v>0.25906411051527894</v>
      </c>
      <c r="AV95" s="139">
        <f>2*(AV87^2+AV70^2)^0.5</f>
        <v>0.2531273517701078</v>
      </c>
      <c r="AW95" s="139">
        <f>2*(AW87^2+AW70^2)^0.5</f>
        <v>0.25621308335028475</v>
      </c>
      <c r="AX95" s="94"/>
      <c r="AY95" s="140">
        <f aca="true" t="shared" si="65" ref="AY95:BF95">2*(AY87^2+AY70^2)^0.5</f>
        <v>3.073184029363436</v>
      </c>
      <c r="AZ95" s="140">
        <f t="shared" si="65"/>
        <v>3.0743397904635232</v>
      </c>
      <c r="BA95" s="140">
        <f t="shared" si="65"/>
        <v>3.069797423745791</v>
      </c>
      <c r="BB95" s="140">
        <f t="shared" si="65"/>
        <v>3.0697004932375207</v>
      </c>
      <c r="BC95" s="140">
        <f t="shared" si="65"/>
        <v>3.0683658884921368</v>
      </c>
      <c r="BD95" s="140">
        <f t="shared" si="65"/>
        <v>2.9638518610413236</v>
      </c>
      <c r="BE95" s="140">
        <f t="shared" si="65"/>
        <v>2.9600212257838927</v>
      </c>
      <c r="BF95" s="140">
        <f t="shared" si="65"/>
        <v>2.9462402517063615</v>
      </c>
      <c r="BG95" s="92"/>
      <c r="BH95" s="92"/>
    </row>
    <row r="96" spans="4:60" ht="15">
      <c r="D96" s="146"/>
      <c r="E96" s="101"/>
      <c r="F96" s="147" t="s">
        <v>32</v>
      </c>
      <c r="H96" s="111"/>
      <c r="I96" s="117" t="str">
        <f>E6</f>
        <v>AF=1</v>
      </c>
      <c r="J96" s="117" t="str">
        <f>F6</f>
        <v>Mohm</v>
      </c>
      <c r="K96" s="121"/>
      <c r="L96" s="4" t="str">
        <f>L6</f>
        <v>RF=50</v>
      </c>
      <c r="M96" s="4" t="str">
        <f>M6</f>
        <v>Ohm</v>
      </c>
      <c r="N96" s="4"/>
      <c r="O96" s="4"/>
      <c r="P96" s="4"/>
      <c r="Q96" s="4"/>
      <c r="R96" s="4"/>
      <c r="S96" s="4"/>
      <c r="AQ96" s="100"/>
      <c r="AU96" s="139"/>
      <c r="AV96" s="139"/>
      <c r="AW96" s="139"/>
      <c r="AX96" s="94"/>
      <c r="AY96" s="140"/>
      <c r="AZ96" s="140"/>
      <c r="BA96" s="140"/>
      <c r="BB96" s="140"/>
      <c r="BC96" s="140"/>
      <c r="BD96" s="140"/>
      <c r="BE96" s="140"/>
      <c r="BF96" s="140"/>
      <c r="BG96" s="92"/>
      <c r="BH96" s="92"/>
    </row>
    <row r="97" spans="4:60" ht="15.75" thickBot="1">
      <c r="D97" s="84"/>
      <c r="E97" s="148"/>
      <c r="F97" s="148" t="s">
        <v>0</v>
      </c>
      <c r="H97" s="117" t="str">
        <f>D7</f>
        <v>1k</v>
      </c>
      <c r="I97" s="117" t="str">
        <f>E7</f>
        <v>10k</v>
      </c>
      <c r="J97" s="117" t="str">
        <f>F7</f>
        <v>100k</v>
      </c>
      <c r="K97" s="121"/>
      <c r="L97" s="120" t="str">
        <f>L7</f>
        <v>100k</v>
      </c>
      <c r="M97" s="120" t="str">
        <f>M7</f>
        <v>500k</v>
      </c>
      <c r="N97" s="120" t="str">
        <f aca="true" t="shared" si="66" ref="N97:S97">N7</f>
        <v>1M</v>
      </c>
      <c r="O97" s="120" t="str">
        <f t="shared" si="66"/>
        <v>5M</v>
      </c>
      <c r="P97" s="120" t="str">
        <f t="shared" si="66"/>
        <v>10M</v>
      </c>
      <c r="Q97" s="120" t="str">
        <f t="shared" si="66"/>
        <v>50M</v>
      </c>
      <c r="R97" s="120" t="str">
        <f t="shared" si="66"/>
        <v>100M</v>
      </c>
      <c r="S97" s="120" t="str">
        <f t="shared" si="66"/>
        <v>200M</v>
      </c>
      <c r="U97" s="149" t="s">
        <v>127</v>
      </c>
      <c r="V97" s="149"/>
      <c r="W97" s="149"/>
      <c r="X97" s="149"/>
      <c r="Y97" s="149"/>
      <c r="Z97" s="149"/>
      <c r="AQ97" s="100"/>
      <c r="AU97" s="139">
        <f>2*(AU88^2+AU71^2)^0.5</f>
        <v>0.25764253462629333</v>
      </c>
      <c r="AV97" s="139">
        <f>2*(AV88^2+AV71^2)^0.5</f>
        <v>0.2494944690853734</v>
      </c>
      <c r="AW97" s="139">
        <f>2*(AW88^2+AW71^2)^0.5</f>
        <v>0.2405291399474537</v>
      </c>
      <c r="AX97" s="94"/>
      <c r="AY97" s="140">
        <f aca="true" t="shared" si="67" ref="AY97:BF97">2*(AY88^2+AY71^2)^0.5</f>
        <v>3.071714985578603</v>
      </c>
      <c r="AZ97" s="140">
        <f t="shared" si="67"/>
        <v>3.074125153423658</v>
      </c>
      <c r="BA97" s="140">
        <f t="shared" si="67"/>
        <v>3.069454166438805</v>
      </c>
      <c r="BB97" s="140">
        <f t="shared" si="67"/>
        <v>3.0709728221350385</v>
      </c>
      <c r="BC97" s="140">
        <f t="shared" si="67"/>
        <v>3.0695336586755926</v>
      </c>
      <c r="BD97" s="140">
        <f t="shared" si="67"/>
        <v>2.9625878224738647</v>
      </c>
      <c r="BE97" s="140">
        <f t="shared" si="67"/>
        <v>2.960855100858868</v>
      </c>
      <c r="BF97" s="140">
        <f t="shared" si="67"/>
        <v>2.9461688947750413</v>
      </c>
      <c r="BG97" s="92"/>
      <c r="BH97" s="92"/>
    </row>
    <row r="98" spans="4:59" ht="15">
      <c r="D98" s="150" t="s">
        <v>3</v>
      </c>
      <c r="E98" s="151" t="s">
        <v>1</v>
      </c>
      <c r="F98" s="148" t="s">
        <v>33</v>
      </c>
      <c r="H98" s="152">
        <f>D20</f>
        <v>988.7</v>
      </c>
      <c r="I98" s="152">
        <f>E20</f>
        <v>964.5</v>
      </c>
      <c r="J98" s="152">
        <f>F20</f>
        <v>979.1</v>
      </c>
      <c r="K98" s="153"/>
      <c r="L98" s="154">
        <f aca="true" t="shared" si="68" ref="L98:S98">L20</f>
        <v>1016.1</v>
      </c>
      <c r="M98" s="154">
        <f t="shared" si="68"/>
        <v>1012.2</v>
      </c>
      <c r="N98" s="154">
        <f t="shared" si="68"/>
        <v>1005.6</v>
      </c>
      <c r="O98" s="154">
        <f t="shared" si="68"/>
        <v>1016.2</v>
      </c>
      <c r="P98" s="154">
        <f t="shared" si="68"/>
        <v>984.9</v>
      </c>
      <c r="Q98" s="154">
        <f t="shared" si="68"/>
        <v>973.2</v>
      </c>
      <c r="R98" s="154">
        <f t="shared" si="68"/>
        <v>911.3</v>
      </c>
      <c r="S98" s="154">
        <f t="shared" si="68"/>
        <v>800</v>
      </c>
      <c r="U98" s="155"/>
      <c r="V98" s="149"/>
      <c r="W98" s="149" t="s">
        <v>97</v>
      </c>
      <c r="X98" s="156" t="s">
        <v>98</v>
      </c>
      <c r="Y98" s="156" t="s">
        <v>99</v>
      </c>
      <c r="Z98" s="156"/>
      <c r="AQ98" s="100"/>
      <c r="AU98" s="139"/>
      <c r="AV98" s="139"/>
      <c r="AW98" s="139"/>
      <c r="AX98" s="94"/>
      <c r="AY98" s="140"/>
      <c r="AZ98" s="140"/>
      <c r="BA98" s="140"/>
      <c r="BB98" s="140"/>
      <c r="BC98" s="140"/>
      <c r="BD98" s="140"/>
      <c r="BE98" s="140"/>
      <c r="BF98" s="140"/>
      <c r="BG98" s="92"/>
    </row>
    <row r="99" spans="4:58" ht="15.75" thickBot="1">
      <c r="D99" s="157">
        <f>C9</f>
        <v>500</v>
      </c>
      <c r="E99" s="158" t="s">
        <v>34</v>
      </c>
      <c r="F99" s="148" t="s">
        <v>35</v>
      </c>
      <c r="H99" s="159">
        <f>H20</f>
        <v>-24.9</v>
      </c>
      <c r="I99" s="159">
        <f>I20</f>
        <v>-24.4</v>
      </c>
      <c r="J99" s="159">
        <f>J20</f>
        <v>-27.720000000000006</v>
      </c>
      <c r="K99" s="153"/>
      <c r="L99" s="154">
        <f aca="true" t="shared" si="69" ref="L99:S99">U20</f>
        <v>0</v>
      </c>
      <c r="M99" s="154">
        <f t="shared" si="69"/>
        <v>0</v>
      </c>
      <c r="N99" s="154">
        <f t="shared" si="69"/>
        <v>0</v>
      </c>
      <c r="O99" s="154">
        <f t="shared" si="69"/>
        <v>0</v>
      </c>
      <c r="P99" s="154">
        <f t="shared" si="69"/>
        <v>0</v>
      </c>
      <c r="Q99" s="154">
        <f t="shared" si="69"/>
        <v>0</v>
      </c>
      <c r="R99" s="154">
        <f t="shared" si="69"/>
        <v>0</v>
      </c>
      <c r="S99" s="154">
        <f t="shared" si="69"/>
        <v>0</v>
      </c>
      <c r="U99" s="155" t="s">
        <v>101</v>
      </c>
      <c r="V99" s="156" t="s">
        <v>100</v>
      </c>
      <c r="W99" s="156">
        <v>9.97</v>
      </c>
      <c r="X99" s="149">
        <v>9.93</v>
      </c>
      <c r="Y99" s="149">
        <v>10</v>
      </c>
      <c r="Z99" s="149" t="s">
        <v>104</v>
      </c>
      <c r="AQ99" s="100"/>
      <c r="AU99" s="139">
        <f>2*(AU89^2+AU72^2)^0.5</f>
        <v>0.3772822971083743</v>
      </c>
      <c r="AV99" s="139">
        <f>2*(AV89^2+AV72^2)^0.5</f>
        <v>0.3716625870278385</v>
      </c>
      <c r="AW99" s="139">
        <f>2*(AW89^2+AW72^2)^0.5</f>
        <v>0.5283908839732042</v>
      </c>
      <c r="AX99" s="94"/>
      <c r="AY99" s="140">
        <f aca="true" t="shared" si="70" ref="AY99:BF99">2*(AY89^2+AY72^2)^0.5</f>
        <v>2.911501506183184</v>
      </c>
      <c r="AZ99" s="140">
        <f t="shared" si="70"/>
        <v>2.9155638399528927</v>
      </c>
      <c r="BA99" s="140">
        <f t="shared" si="70"/>
        <v>2.913917756428501</v>
      </c>
      <c r="BB99" s="140">
        <f t="shared" si="70"/>
        <v>2.912760296251811</v>
      </c>
      <c r="BC99" s="140">
        <f t="shared" si="70"/>
        <v>2.911887218230759</v>
      </c>
      <c r="BD99" s="140">
        <f t="shared" si="70"/>
        <v>2.9070342060257572</v>
      </c>
      <c r="BE99" s="140">
        <f t="shared" si="70"/>
        <v>2.9075359104350578</v>
      </c>
      <c r="BF99" s="140">
        <f t="shared" si="70"/>
        <v>2.9060283692792397</v>
      </c>
    </row>
    <row r="100" spans="4:58" ht="15">
      <c r="D100" s="160" t="s">
        <v>89</v>
      </c>
      <c r="E100" s="151" t="s">
        <v>2</v>
      </c>
      <c r="F100" s="148" t="s">
        <v>33</v>
      </c>
      <c r="H100" s="152">
        <f>D33</f>
        <v>988.8813322445045</v>
      </c>
      <c r="I100" s="152">
        <f>E33</f>
        <v>964.5591058744822</v>
      </c>
      <c r="J100" s="152">
        <f>F33</f>
        <v>980</v>
      </c>
      <c r="K100" s="153"/>
      <c r="L100" s="154">
        <f aca="true" t="shared" si="71" ref="L100:S100">L33</f>
        <v>1011.7</v>
      </c>
      <c r="M100" s="154">
        <f t="shared" si="71"/>
        <v>1010.9</v>
      </c>
      <c r="N100" s="154">
        <f t="shared" si="71"/>
        <v>1004.8</v>
      </c>
      <c r="O100" s="154">
        <f t="shared" si="71"/>
        <v>1019.7</v>
      </c>
      <c r="P100" s="154">
        <f t="shared" si="71"/>
        <v>986.9</v>
      </c>
      <c r="Q100" s="154">
        <f t="shared" si="71"/>
        <v>966.3</v>
      </c>
      <c r="R100" s="154">
        <f t="shared" si="71"/>
        <v>916.2</v>
      </c>
      <c r="S100" s="154">
        <f t="shared" si="71"/>
        <v>799.8</v>
      </c>
      <c r="U100" s="155"/>
      <c r="V100" s="156" t="s">
        <v>102</v>
      </c>
      <c r="W100" s="156">
        <v>49.9</v>
      </c>
      <c r="X100" s="149">
        <v>49.4</v>
      </c>
      <c r="Y100" s="149">
        <v>49.7</v>
      </c>
      <c r="Z100" s="149" t="s">
        <v>103</v>
      </c>
      <c r="AQ100" s="100"/>
      <c r="AU100" s="139"/>
      <c r="AV100" s="139"/>
      <c r="AW100" s="139"/>
      <c r="AX100" s="94"/>
      <c r="AY100" s="140"/>
      <c r="AZ100" s="140"/>
      <c r="BA100" s="140"/>
      <c r="BB100" s="140"/>
      <c r="BC100" s="140"/>
      <c r="BD100" s="140"/>
      <c r="BE100" s="140"/>
      <c r="BF100" s="140"/>
    </row>
    <row r="101" spans="4:60" ht="15.75" thickBot="1">
      <c r="D101" s="161">
        <f>D9</f>
        <v>1000</v>
      </c>
      <c r="E101" s="158" t="s">
        <v>34</v>
      </c>
      <c r="F101" s="148" t="s">
        <v>35</v>
      </c>
      <c r="H101" s="152">
        <f>H33</f>
        <v>-27.190000000000005</v>
      </c>
      <c r="I101" s="152">
        <f>I33</f>
        <v>-25.669999999999998</v>
      </c>
      <c r="J101" s="152">
        <f>J33</f>
        <v>-27.130000000000003</v>
      </c>
      <c r="K101" s="153"/>
      <c r="L101" s="154">
        <f aca="true" t="shared" si="72" ref="L101:S101">U33</f>
        <v>0</v>
      </c>
      <c r="M101" s="154">
        <f t="shared" si="72"/>
        <v>0</v>
      </c>
      <c r="N101" s="154">
        <f t="shared" si="72"/>
        <v>0</v>
      </c>
      <c r="O101" s="154">
        <f t="shared" si="72"/>
        <v>0</v>
      </c>
      <c r="P101" s="154">
        <f t="shared" si="72"/>
        <v>0</v>
      </c>
      <c r="Q101" s="154">
        <f t="shared" si="72"/>
        <v>0</v>
      </c>
      <c r="R101" s="154">
        <f t="shared" si="72"/>
        <v>0</v>
      </c>
      <c r="S101" s="154">
        <f t="shared" si="72"/>
        <v>0</v>
      </c>
      <c r="U101" s="155" t="s">
        <v>105</v>
      </c>
      <c r="V101" s="156" t="s">
        <v>100</v>
      </c>
      <c r="W101" s="149">
        <v>9.95</v>
      </c>
      <c r="X101" s="149">
        <v>9.9</v>
      </c>
      <c r="Y101" s="149">
        <v>9.99</v>
      </c>
      <c r="Z101" s="149"/>
      <c r="AQ101" s="100"/>
      <c r="AU101" s="139">
        <f>2*(AU90^2+AU73^2)^0.5</f>
        <v>0.3378382959582503</v>
      </c>
      <c r="AV101" s="139">
        <f>2*(AV90^2+AV73^2)^0.5</f>
        <v>0.399713182724398</v>
      </c>
      <c r="AW101" s="139">
        <f>2*(AW90^2+AW73^2)^0.5</f>
        <v>0.3674511054270037</v>
      </c>
      <c r="AX101" s="94"/>
      <c r="AY101" s="140">
        <f aca="true" t="shared" si="73" ref="AY101:BF101">2*(AY90^2+AY73^2)^0.5</f>
        <v>2.911489954402553</v>
      </c>
      <c r="AZ101" s="140">
        <f t="shared" si="73"/>
        <v>2.914029977403007</v>
      </c>
      <c r="BA101" s="140">
        <f t="shared" si="73"/>
        <v>2.9160104028035927</v>
      </c>
      <c r="BB101" s="140">
        <f t="shared" si="73"/>
        <v>2.9127989623920585</v>
      </c>
      <c r="BC101" s="140">
        <f t="shared" si="73"/>
        <v>2.908742596551952</v>
      </c>
      <c r="BD101" s="140">
        <f t="shared" si="73"/>
        <v>2.9081973111611203</v>
      </c>
      <c r="BE101" s="140">
        <f t="shared" si="73"/>
        <v>2.9106119689003984</v>
      </c>
      <c r="BF101" s="140">
        <f t="shared" si="73"/>
        <v>2.909056123628646</v>
      </c>
      <c r="BH101" s="92"/>
    </row>
    <row r="102" spans="4:60" ht="15">
      <c r="D102" s="150" t="s">
        <v>3</v>
      </c>
      <c r="E102" s="151" t="s">
        <v>1</v>
      </c>
      <c r="F102" s="148" t="s">
        <v>33</v>
      </c>
      <c r="H102" s="152">
        <f>D48</f>
        <v>196.9</v>
      </c>
      <c r="I102" s="152">
        <f>E48</f>
        <v>191.6</v>
      </c>
      <c r="J102" s="152">
        <f>F48</f>
        <v>194.3</v>
      </c>
      <c r="K102" s="153"/>
      <c r="L102" s="154">
        <f aca="true" t="shared" si="74" ref="L102:S102">L48</f>
        <v>254.6</v>
      </c>
      <c r="M102" s="154">
        <f t="shared" si="74"/>
        <v>252.8</v>
      </c>
      <c r="N102" s="154">
        <f t="shared" si="74"/>
        <v>250.6</v>
      </c>
      <c r="O102" s="154">
        <f t="shared" si="74"/>
        <v>250.8</v>
      </c>
      <c r="P102" s="154">
        <f t="shared" si="74"/>
        <v>246.1</v>
      </c>
      <c r="Q102" s="154">
        <f t="shared" si="74"/>
        <v>245.3</v>
      </c>
      <c r="R102" s="154">
        <f t="shared" si="74"/>
        <v>232.3</v>
      </c>
      <c r="S102" s="154">
        <f t="shared" si="74"/>
        <v>193.4</v>
      </c>
      <c r="U102" s="155"/>
      <c r="V102" s="156" t="s">
        <v>102</v>
      </c>
      <c r="W102" s="149">
        <v>49.8</v>
      </c>
      <c r="X102" s="149">
        <v>49.5</v>
      </c>
      <c r="Y102" s="149">
        <v>49.8</v>
      </c>
      <c r="Z102" s="149"/>
      <c r="AQ102" s="100"/>
      <c r="AU102" s="139"/>
      <c r="AV102" s="139"/>
      <c r="AW102" s="139"/>
      <c r="AX102" s="94"/>
      <c r="AY102" s="140"/>
      <c r="AZ102" s="140"/>
      <c r="BA102" s="140"/>
      <c r="BB102" s="140"/>
      <c r="BC102" s="140"/>
      <c r="BD102" s="140"/>
      <c r="BE102" s="140"/>
      <c r="BF102" s="140"/>
      <c r="BG102" s="92"/>
      <c r="BH102" s="92"/>
    </row>
    <row r="103" spans="4:60" ht="15.75" thickBot="1">
      <c r="D103" s="157">
        <f>C37</f>
        <v>100</v>
      </c>
      <c r="E103" s="158" t="s">
        <v>34</v>
      </c>
      <c r="F103" s="148" t="s">
        <v>35</v>
      </c>
      <c r="H103" s="162">
        <f>H48</f>
        <v>-5.9799999999999995</v>
      </c>
      <c r="I103" s="162">
        <f>I48</f>
        <v>-5.880000000000001</v>
      </c>
      <c r="J103" s="162">
        <f>J48</f>
        <v>-7.12</v>
      </c>
      <c r="K103" s="89"/>
      <c r="L103" s="154">
        <f aca="true" t="shared" si="75" ref="L103:S103">U48</f>
        <v>0</v>
      </c>
      <c r="M103" s="154">
        <f t="shared" si="75"/>
        <v>0</v>
      </c>
      <c r="N103" s="154">
        <f t="shared" si="75"/>
        <v>0</v>
      </c>
      <c r="O103" s="154">
        <f t="shared" si="75"/>
        <v>0</v>
      </c>
      <c r="P103" s="154">
        <f t="shared" si="75"/>
        <v>0</v>
      </c>
      <c r="Q103" s="154">
        <f t="shared" si="75"/>
        <v>0</v>
      </c>
      <c r="R103" s="154">
        <f t="shared" si="75"/>
        <v>0</v>
      </c>
      <c r="S103" s="154">
        <f t="shared" si="75"/>
        <v>0</v>
      </c>
      <c r="AQ103" s="100"/>
      <c r="AU103" s="139">
        <f>2*(AU91^2+AU74^2)^0.5</f>
        <v>1.4258847392167944</v>
      </c>
      <c r="AV103" s="139">
        <f>2*(AV91^2+AV74^2)^0.5</f>
        <v>1.2019717702038353</v>
      </c>
      <c r="AW103" s="139">
        <f>2*(AW91^2+AW74^2)^0.5</f>
        <v>0.893072978162443</v>
      </c>
      <c r="AX103" s="94"/>
      <c r="AY103" s="140">
        <f aca="true" t="shared" si="76" ref="AY103:BF103">2*(AY91^2+AY74^2)^0.5</f>
        <v>3.151227875397762</v>
      </c>
      <c r="AZ103" s="140">
        <f t="shared" si="76"/>
        <v>3.2025041280007915</v>
      </c>
      <c r="BA103" s="140">
        <f t="shared" si="76"/>
        <v>3.026831360857567</v>
      </c>
      <c r="BB103" s="140">
        <f t="shared" si="76"/>
        <v>3.1326868236411576</v>
      </c>
      <c r="BC103" s="140">
        <f t="shared" si="76"/>
        <v>3.086749250272584</v>
      </c>
      <c r="BD103" s="140">
        <f t="shared" si="76"/>
        <v>3.0793614241056653</v>
      </c>
      <c r="BE103" s="140">
        <f t="shared" si="76"/>
        <v>3.1943985347930712</v>
      </c>
      <c r="BF103" s="140">
        <f t="shared" si="76"/>
        <v>3.1614333176783003</v>
      </c>
      <c r="BG103" s="92"/>
      <c r="BH103" s="92"/>
    </row>
    <row r="104" spans="4:60" ht="15">
      <c r="D104" s="160" t="str">
        <f>D100</f>
        <v>úroveň (mV)</v>
      </c>
      <c r="E104" s="151" t="s">
        <v>2</v>
      </c>
      <c r="F104" s="148" t="s">
        <v>33</v>
      </c>
      <c r="H104" s="159">
        <f>D61</f>
        <v>195.4</v>
      </c>
      <c r="I104" s="159">
        <f>E61</f>
        <v>189.7</v>
      </c>
      <c r="J104" s="159">
        <f>F61</f>
        <v>192.7</v>
      </c>
      <c r="K104" s="89"/>
      <c r="L104" s="154">
        <f aca="true" t="shared" si="77" ref="L104:S104">L61</f>
        <v>254.4</v>
      </c>
      <c r="M104" s="154">
        <f t="shared" si="77"/>
        <v>252.4</v>
      </c>
      <c r="N104" s="154">
        <f t="shared" si="77"/>
        <v>251</v>
      </c>
      <c r="O104" s="154">
        <f t="shared" si="77"/>
        <v>251.8</v>
      </c>
      <c r="P104" s="154">
        <f t="shared" si="77"/>
        <v>246.5</v>
      </c>
      <c r="Q104" s="154">
        <f t="shared" si="77"/>
        <v>240.9</v>
      </c>
      <c r="R104" s="154">
        <f t="shared" si="77"/>
        <v>228.3</v>
      </c>
      <c r="S104" s="154">
        <f t="shared" si="77"/>
        <v>185.8</v>
      </c>
      <c r="AQ104" s="100"/>
      <c r="AU104" s="139"/>
      <c r="AV104" s="139"/>
      <c r="AW104" s="139"/>
      <c r="AX104" s="94"/>
      <c r="AY104" s="140"/>
      <c r="AZ104" s="140"/>
      <c r="BA104" s="140"/>
      <c r="BB104" s="140"/>
      <c r="BC104" s="140"/>
      <c r="BD104" s="140"/>
      <c r="BE104" s="140"/>
      <c r="BF104" s="140"/>
      <c r="BG104" s="92"/>
      <c r="BH104" s="92"/>
    </row>
    <row r="105" spans="4:60" ht="15.75" thickBot="1">
      <c r="D105" s="161">
        <f>D37</f>
        <v>250</v>
      </c>
      <c r="E105" s="158" t="s">
        <v>34</v>
      </c>
      <c r="F105" s="148" t="s">
        <v>35</v>
      </c>
      <c r="H105" s="159">
        <f>H61</f>
        <v>-9.28</v>
      </c>
      <c r="I105" s="159">
        <f>I61</f>
        <v>-6.969999999999999</v>
      </c>
      <c r="J105" s="159">
        <f>J61</f>
        <v>-8.120000000000001</v>
      </c>
      <c r="K105" s="89"/>
      <c r="L105" s="154">
        <f aca="true" t="shared" si="78" ref="L105:S105">U61</f>
        <v>0</v>
      </c>
      <c r="M105" s="154">
        <f t="shared" si="78"/>
        <v>0</v>
      </c>
      <c r="N105" s="154">
        <f t="shared" si="78"/>
        <v>0</v>
      </c>
      <c r="O105" s="154">
        <f t="shared" si="78"/>
        <v>0</v>
      </c>
      <c r="P105" s="154">
        <f t="shared" si="78"/>
        <v>0</v>
      </c>
      <c r="Q105" s="154">
        <f t="shared" si="78"/>
        <v>0</v>
      </c>
      <c r="R105" s="154">
        <f t="shared" si="78"/>
        <v>0</v>
      </c>
      <c r="S105" s="154">
        <f t="shared" si="78"/>
        <v>0</v>
      </c>
      <c r="AQ105" s="100"/>
      <c r="AU105" s="139">
        <f>2*(AU92^2+AU75^2)^0.5</f>
        <v>1.2429430358853861</v>
      </c>
      <c r="AV105" s="139">
        <f>2*(AV92^2+AV75^2)^0.5</f>
        <v>1.1373856810615277</v>
      </c>
      <c r="AW105" s="139">
        <f>2*(AW92^2+AW75^2)^0.5</f>
        <v>0.9970322963043344</v>
      </c>
      <c r="AX105" s="94"/>
      <c r="AY105" s="140">
        <f aca="true" t="shared" si="79" ref="AY105:BF105">2*(AY92^2+AY75^2)^0.5</f>
        <v>3.1131579857404694</v>
      </c>
      <c r="AZ105" s="140">
        <f t="shared" si="79"/>
        <v>3.06836594320472</v>
      </c>
      <c r="BA105" s="140">
        <f t="shared" si="79"/>
        <v>3.076885150203988</v>
      </c>
      <c r="BB105" s="140">
        <f t="shared" si="79"/>
        <v>3.0772665068708323</v>
      </c>
      <c r="BC105" s="140">
        <f t="shared" si="79"/>
        <v>2.9999881654399156</v>
      </c>
      <c r="BD105" s="140">
        <f t="shared" si="79"/>
        <v>3.1158713366832087</v>
      </c>
      <c r="BE105" s="140">
        <f t="shared" si="79"/>
        <v>3.0589515744385</v>
      </c>
      <c r="BF105" s="140">
        <f t="shared" si="79"/>
        <v>3.1062325382430243</v>
      </c>
      <c r="BG105" s="92"/>
      <c r="BH105" s="92"/>
    </row>
    <row r="106" spans="4:60" ht="15">
      <c r="D106" s="150" t="s">
        <v>3</v>
      </c>
      <c r="E106" s="151" t="s">
        <v>1</v>
      </c>
      <c r="F106" s="148" t="s">
        <v>33</v>
      </c>
      <c r="H106" s="159">
        <f>D76</f>
        <v>48.46999999999999</v>
      </c>
      <c r="I106" s="159">
        <f>E76</f>
        <v>48.17999999999999</v>
      </c>
      <c r="J106" s="159">
        <f>F76</f>
        <v>47.58</v>
      </c>
      <c r="K106" s="89"/>
      <c r="L106" s="154">
        <f aca="true" t="shared" si="80" ref="L106:S106">L76</f>
        <v>50.730000000000004</v>
      </c>
      <c r="M106" s="154">
        <f t="shared" si="80"/>
        <v>50.3</v>
      </c>
      <c r="N106" s="154">
        <f t="shared" si="80"/>
        <v>50.06</v>
      </c>
      <c r="O106" s="154">
        <f t="shared" si="80"/>
        <v>50.4</v>
      </c>
      <c r="P106" s="154">
        <f t="shared" si="80"/>
        <v>48.86</v>
      </c>
      <c r="Q106" s="154">
        <f t="shared" si="80"/>
        <v>48.34</v>
      </c>
      <c r="R106" s="154">
        <f t="shared" si="80"/>
        <v>45.50000000000001</v>
      </c>
      <c r="S106" s="154">
        <f t="shared" si="80"/>
        <v>37.29</v>
      </c>
      <c r="AQ106" s="100"/>
      <c r="BG106" s="92"/>
      <c r="BH106" s="92"/>
    </row>
    <row r="107" spans="4:59" ht="15.75" thickBot="1">
      <c r="D107" s="157">
        <f>C65</f>
        <v>20</v>
      </c>
      <c r="E107" s="158" t="s">
        <v>34</v>
      </c>
      <c r="F107" s="148" t="s">
        <v>35</v>
      </c>
      <c r="H107" s="159">
        <f>H76</f>
        <v>-2.33</v>
      </c>
      <c r="I107" s="159">
        <f>I76</f>
        <v>-3.46</v>
      </c>
      <c r="J107" s="159">
        <f>J76</f>
        <v>-3.05</v>
      </c>
      <c r="K107" s="89"/>
      <c r="L107" s="154">
        <f aca="true" t="shared" si="81" ref="L107:S107">U76</f>
        <v>0</v>
      </c>
      <c r="M107" s="154">
        <f t="shared" si="81"/>
        <v>0</v>
      </c>
      <c r="N107" s="154">
        <f t="shared" si="81"/>
        <v>0</v>
      </c>
      <c r="O107" s="154">
        <f t="shared" si="81"/>
        <v>0</v>
      </c>
      <c r="P107" s="154">
        <f t="shared" si="81"/>
        <v>0</v>
      </c>
      <c r="Q107" s="154">
        <f t="shared" si="81"/>
        <v>0</v>
      </c>
      <c r="R107" s="154">
        <f t="shared" si="81"/>
        <v>0</v>
      </c>
      <c r="S107" s="154">
        <f t="shared" si="81"/>
        <v>0</v>
      </c>
      <c r="AQ107" s="100"/>
      <c r="BG107" s="92"/>
    </row>
    <row r="108" spans="4:43" ht="15">
      <c r="D108" s="160" t="str">
        <f>D104</f>
        <v>úroveň (mV)</v>
      </c>
      <c r="E108" s="151" t="s">
        <v>2</v>
      </c>
      <c r="F108" s="148" t="s">
        <v>33</v>
      </c>
      <c r="H108" s="159">
        <f>D89</f>
        <v>48.75000000000001</v>
      </c>
      <c r="I108" s="159">
        <f>E89</f>
        <v>47.50999999999999</v>
      </c>
      <c r="J108" s="159">
        <f>F89</f>
        <v>49.290000000000006</v>
      </c>
      <c r="K108" s="89"/>
      <c r="L108" s="154">
        <f aca="true" t="shared" si="82" ref="L108:S108">L89</f>
        <v>50.81</v>
      </c>
      <c r="M108" s="154">
        <f t="shared" si="82"/>
        <v>50.25</v>
      </c>
      <c r="N108" s="154">
        <f t="shared" si="82"/>
        <v>50.169999999999995</v>
      </c>
      <c r="O108" s="154">
        <f t="shared" si="82"/>
        <v>50.440000000000005</v>
      </c>
      <c r="P108" s="154">
        <f t="shared" si="82"/>
        <v>49.089999999999996</v>
      </c>
      <c r="Q108" s="154">
        <f t="shared" si="82"/>
        <v>47.379999999999995</v>
      </c>
      <c r="R108" s="154">
        <f t="shared" si="82"/>
        <v>44.27</v>
      </c>
      <c r="S108" s="154">
        <f t="shared" si="82"/>
        <v>35.739999999999995</v>
      </c>
      <c r="AQ108" s="100"/>
    </row>
    <row r="109" spans="4:60" ht="15.75" thickBot="1">
      <c r="D109" s="161">
        <f>D65</f>
        <v>50</v>
      </c>
      <c r="E109" s="158" t="s">
        <v>34</v>
      </c>
      <c r="F109" s="148" t="s">
        <v>35</v>
      </c>
      <c r="H109" s="159">
        <f>H89</f>
        <v>-3.6800000000000006</v>
      </c>
      <c r="I109" s="159">
        <f>I89</f>
        <v>-2.43</v>
      </c>
      <c r="J109" s="159">
        <f>J89</f>
        <v>-3.7800000000000002</v>
      </c>
      <c r="K109" s="89"/>
      <c r="L109" s="154">
        <f aca="true" t="shared" si="83" ref="L109:S109">U89</f>
        <v>0</v>
      </c>
      <c r="M109" s="154">
        <f t="shared" si="83"/>
        <v>0</v>
      </c>
      <c r="N109" s="154">
        <f t="shared" si="83"/>
        <v>0</v>
      </c>
      <c r="O109" s="154">
        <f t="shared" si="83"/>
        <v>0</v>
      </c>
      <c r="P109" s="154">
        <f t="shared" si="83"/>
        <v>0</v>
      </c>
      <c r="Q109" s="154">
        <f t="shared" si="83"/>
        <v>0</v>
      </c>
      <c r="R109" s="154">
        <f t="shared" si="83"/>
        <v>0</v>
      </c>
      <c r="S109" s="154">
        <f t="shared" si="83"/>
        <v>0</v>
      </c>
      <c r="AQ109" s="100"/>
      <c r="BH109" s="92"/>
    </row>
    <row r="110" spans="4:60" ht="15">
      <c r="D110" s="146"/>
      <c r="E110" s="101"/>
      <c r="F110" s="101"/>
      <c r="I110" s="56"/>
      <c r="J110" s="56"/>
      <c r="K110" s="55"/>
      <c r="L110" s="56"/>
      <c r="M110" s="56"/>
      <c r="N110" s="56"/>
      <c r="O110" s="56"/>
      <c r="P110" s="56"/>
      <c r="Q110" s="56"/>
      <c r="R110" s="56"/>
      <c r="S110" s="55"/>
      <c r="AQ110" s="100"/>
      <c r="BG110" s="92"/>
      <c r="BH110" s="92"/>
    </row>
    <row r="111" spans="4:60" ht="15">
      <c r="D111" s="163"/>
      <c r="S111" s="55"/>
      <c r="AQ111" s="100"/>
      <c r="BG111" s="92"/>
      <c r="BH111" s="92"/>
    </row>
    <row r="112" spans="4:60" ht="15">
      <c r="D112" s="163"/>
      <c r="S112" s="55"/>
      <c r="AQ112" s="100"/>
      <c r="BG112" s="92"/>
      <c r="BH112" s="92"/>
    </row>
    <row r="113" spans="1:60" ht="15">
      <c r="A113" s="103" t="s">
        <v>51</v>
      </c>
      <c r="B113" s="103"/>
      <c r="C113" s="100"/>
      <c r="D113" s="164"/>
      <c r="J113" s="56"/>
      <c r="K113" s="55"/>
      <c r="L113" s="56"/>
      <c r="M113" s="56"/>
      <c r="N113" s="56"/>
      <c r="O113" s="56"/>
      <c r="P113" s="56"/>
      <c r="Q113" s="56"/>
      <c r="R113" s="56"/>
      <c r="S113" s="153"/>
      <c r="AQ113" s="100"/>
      <c r="BG113" s="92"/>
      <c r="BH113" s="92"/>
    </row>
    <row r="114" spans="4:60" ht="15">
      <c r="D114" s="163"/>
      <c r="F114" s="61" t="s">
        <v>50</v>
      </c>
      <c r="I114" s="165"/>
      <c r="J114" s="56"/>
      <c r="K114" s="55"/>
      <c r="L114" s="56"/>
      <c r="M114" s="56"/>
      <c r="N114" s="56"/>
      <c r="O114" s="56"/>
      <c r="P114" s="56"/>
      <c r="Q114" s="56"/>
      <c r="R114" s="56"/>
      <c r="S114" s="89"/>
      <c r="AQ114" s="100"/>
      <c r="BG114" s="92"/>
      <c r="BH114" s="92"/>
    </row>
    <row r="115" spans="4:59" ht="15">
      <c r="D115" s="163"/>
      <c r="F115" s="147">
        <f>D101</f>
        <v>1000</v>
      </c>
      <c r="H115" s="159">
        <f>AE20</f>
        <v>993.49</v>
      </c>
      <c r="I115" s="159">
        <f>AF20</f>
        <v>993.49</v>
      </c>
      <c r="J115" s="159">
        <f>AG20</f>
        <v>1003.2999999999998</v>
      </c>
      <c r="K115" s="55"/>
      <c r="L115" s="166">
        <f aca="true" t="shared" si="84" ref="L115:S115">AI20</f>
        <v>1036.9</v>
      </c>
      <c r="M115" s="166">
        <f t="shared" si="84"/>
        <v>1029.9</v>
      </c>
      <c r="N115" s="166">
        <f t="shared" si="84"/>
        <v>1036.3</v>
      </c>
      <c r="O115" s="166">
        <f t="shared" si="84"/>
        <v>1047</v>
      </c>
      <c r="P115" s="166">
        <f t="shared" si="84"/>
        <v>1018.9</v>
      </c>
      <c r="Q115" s="166">
        <f t="shared" si="84"/>
        <v>1008.2</v>
      </c>
      <c r="R115" s="166">
        <f t="shared" si="84"/>
        <v>998.9</v>
      </c>
      <c r="S115" s="166">
        <f t="shared" si="84"/>
        <v>990</v>
      </c>
      <c r="AQ115" s="100"/>
      <c r="BG115" s="92"/>
    </row>
    <row r="116" spans="4:43" ht="15">
      <c r="D116" s="163"/>
      <c r="F116" s="147">
        <f>D105</f>
        <v>250</v>
      </c>
      <c r="H116" s="159">
        <f>AE48</f>
        <v>248.40019999999998</v>
      </c>
      <c r="I116" s="159">
        <f>AF48</f>
        <v>248.40019999999998</v>
      </c>
      <c r="J116" s="159">
        <f>AG48</f>
        <v>251.2002</v>
      </c>
      <c r="K116" s="55"/>
      <c r="L116" s="154">
        <f aca="true" t="shared" si="85" ref="L116:S116">AI48</f>
        <v>259.18</v>
      </c>
      <c r="M116" s="154">
        <f t="shared" si="85"/>
        <v>257.21</v>
      </c>
      <c r="N116" s="154">
        <f t="shared" si="85"/>
        <v>258.63</v>
      </c>
      <c r="O116" s="154">
        <f t="shared" si="85"/>
        <v>261.69</v>
      </c>
      <c r="P116" s="154">
        <f t="shared" si="85"/>
        <v>255.64999999999995</v>
      </c>
      <c r="Q116" s="154">
        <f t="shared" si="85"/>
        <v>252.69</v>
      </c>
      <c r="R116" s="154">
        <f t="shared" si="85"/>
        <v>250.9</v>
      </c>
      <c r="S116" s="154">
        <f t="shared" si="85"/>
        <v>248</v>
      </c>
      <c r="AQ116" s="100"/>
    </row>
    <row r="117" spans="4:60" ht="15">
      <c r="D117" s="163"/>
      <c r="F117" s="147">
        <f>D109</f>
        <v>50</v>
      </c>
      <c r="H117" s="139">
        <f>AE76</f>
        <v>49.73008000000001</v>
      </c>
      <c r="I117" s="139">
        <f>AF76</f>
        <v>49.73008000000001</v>
      </c>
      <c r="J117" s="139">
        <f>AG76</f>
        <v>51.160019999999996</v>
      </c>
      <c r="K117" s="55"/>
      <c r="L117" s="140">
        <f aca="true" t="shared" si="86" ref="L117:S117">AI76</f>
        <v>51.565</v>
      </c>
      <c r="M117" s="140">
        <f t="shared" si="86"/>
        <v>51.160000000000004</v>
      </c>
      <c r="N117" s="140">
        <f t="shared" si="86"/>
        <v>51.614999999999995</v>
      </c>
      <c r="O117" s="140">
        <f t="shared" si="86"/>
        <v>52.348</v>
      </c>
      <c r="P117" s="140">
        <f t="shared" si="86"/>
        <v>51.107</v>
      </c>
      <c r="Q117" s="140">
        <f t="shared" si="86"/>
        <v>50.47999999999999</v>
      </c>
      <c r="R117" s="140">
        <f t="shared" si="86"/>
        <v>50.359</v>
      </c>
      <c r="S117" s="140">
        <f t="shared" si="86"/>
        <v>49.7</v>
      </c>
      <c r="AQ117" s="100"/>
      <c r="BH117" s="94"/>
    </row>
    <row r="118" spans="4:60" ht="15">
      <c r="D118" s="163"/>
      <c r="F118" s="101"/>
      <c r="I118" s="167"/>
      <c r="J118" s="55"/>
      <c r="K118" s="55"/>
      <c r="L118" s="55"/>
      <c r="M118" s="55"/>
      <c r="N118" s="56"/>
      <c r="O118" s="56"/>
      <c r="P118" s="56"/>
      <c r="Q118" s="56"/>
      <c r="R118" s="56"/>
      <c r="AQ118" s="100"/>
      <c r="BG118" s="94"/>
      <c r="BH118" s="94"/>
    </row>
    <row r="119" spans="4:60" ht="15">
      <c r="D119" s="163"/>
      <c r="I119" s="53" t="s">
        <v>52</v>
      </c>
      <c r="J119" s="56"/>
      <c r="K119" s="56"/>
      <c r="L119" s="56"/>
      <c r="M119" s="56"/>
      <c r="N119" s="56"/>
      <c r="O119" s="56"/>
      <c r="P119" s="56"/>
      <c r="Q119" s="56"/>
      <c r="R119" s="56"/>
      <c r="AQ119" s="100"/>
      <c r="BG119" s="94"/>
      <c r="BH119" s="94"/>
    </row>
    <row r="120" spans="4:60" ht="15">
      <c r="D120" s="163"/>
      <c r="F120" s="101"/>
      <c r="I120" s="167"/>
      <c r="J120" s="55"/>
      <c r="K120" s="55"/>
      <c r="L120" s="55"/>
      <c r="M120" s="94"/>
      <c r="N120" s="7"/>
      <c r="O120" s="56"/>
      <c r="P120" s="56"/>
      <c r="Q120" s="56"/>
      <c r="R120" s="56"/>
      <c r="W120" s="55"/>
      <c r="AL120" s="56"/>
      <c r="AQ120" s="100"/>
      <c r="BG120" s="94"/>
      <c r="BH120" s="94"/>
    </row>
    <row r="121" spans="4:60" ht="15">
      <c r="D121" s="146"/>
      <c r="E121" s="101"/>
      <c r="F121" s="168">
        <f>F115</f>
        <v>1000</v>
      </c>
      <c r="H121" s="169">
        <f>20*LOG10(H115/$J115)</f>
        <v>-0.08534624362428885</v>
      </c>
      <c r="I121" s="169">
        <f aca="true" t="shared" si="87" ref="I121:J123">20*LOG10(I115/$J115)</f>
        <v>-0.08534624362428885</v>
      </c>
      <c r="J121" s="169">
        <f t="shared" si="87"/>
        <v>0</v>
      </c>
      <c r="K121" s="170"/>
      <c r="L121" s="171">
        <f aca="true" t="shared" si="88" ref="L121:S123">20*LOG10(L115/$L115)</f>
        <v>0</v>
      </c>
      <c r="M121" s="171">
        <f t="shared" si="88"/>
        <v>-0.05883632664075337</v>
      </c>
      <c r="N121" s="171">
        <f t="shared" si="88"/>
        <v>-0.005027526459908247</v>
      </c>
      <c r="O121" s="171">
        <f t="shared" si="88"/>
        <v>0.08419614402784062</v>
      </c>
      <c r="P121" s="171">
        <f t="shared" si="88"/>
        <v>-0.15210624473575696</v>
      </c>
      <c r="Q121" s="171">
        <f t="shared" si="88"/>
        <v>-0.2438036275063698</v>
      </c>
      <c r="R121" s="171">
        <f t="shared" si="88"/>
        <v>-0.32429722697092994</v>
      </c>
      <c r="S121" s="171">
        <f t="shared" si="88"/>
        <v>-0.4020335975980076</v>
      </c>
      <c r="W121" s="55"/>
      <c r="AC121" s="53" t="s">
        <v>90</v>
      </c>
      <c r="AD121" s="53"/>
      <c r="AE121" s="53"/>
      <c r="AQ121" s="100"/>
      <c r="BG121" s="94"/>
      <c r="BH121" s="94"/>
    </row>
    <row r="122" spans="4:60" ht="15">
      <c r="D122" s="84"/>
      <c r="E122" s="146"/>
      <c r="F122" s="168">
        <f>F116</f>
        <v>250</v>
      </c>
      <c r="H122" s="169">
        <f>20*LOG10(H116/$J116)</f>
        <v>-0.09736079325969166</v>
      </c>
      <c r="I122" s="169">
        <f t="shared" si="87"/>
        <v>-0.09736079325969166</v>
      </c>
      <c r="J122" s="169">
        <f t="shared" si="87"/>
        <v>0</v>
      </c>
      <c r="K122" s="170"/>
      <c r="L122" s="171">
        <f t="shared" si="88"/>
        <v>0</v>
      </c>
      <c r="M122" s="171">
        <f t="shared" si="88"/>
        <v>-0.0662727225499987</v>
      </c>
      <c r="N122" s="171">
        <f t="shared" si="88"/>
        <v>-0.018451714325683058</v>
      </c>
      <c r="O122" s="171">
        <f t="shared" si="88"/>
        <v>0.08371283333061391</v>
      </c>
      <c r="P122" s="171">
        <f t="shared" si="88"/>
        <v>-0.1191137693280975</v>
      </c>
      <c r="Q122" s="171">
        <f t="shared" si="88"/>
        <v>-0.2202686023552056</v>
      </c>
      <c r="R122" s="171">
        <f t="shared" si="88"/>
        <v>-0.28201648428700016</v>
      </c>
      <c r="S122" s="171">
        <f t="shared" si="88"/>
        <v>-0.382996094054886</v>
      </c>
      <c r="V122" s="170"/>
      <c r="W122" s="55"/>
      <c r="AQ122" s="100"/>
      <c r="BG122" s="94"/>
      <c r="BH122" s="94"/>
    </row>
    <row r="123" spans="4:59" ht="15">
      <c r="D123" s="84"/>
      <c r="F123" s="168">
        <f>F117</f>
        <v>50</v>
      </c>
      <c r="H123" s="169">
        <f>20*LOG10(H117/$J117)</f>
        <v>-0.24623095419987945</v>
      </c>
      <c r="I123" s="169">
        <f t="shared" si="87"/>
        <v>-0.24623095419987945</v>
      </c>
      <c r="J123" s="169">
        <f t="shared" si="87"/>
        <v>0</v>
      </c>
      <c r="K123" s="170"/>
      <c r="L123" s="171">
        <f t="shared" si="88"/>
        <v>0</v>
      </c>
      <c r="M123" s="171">
        <f t="shared" si="88"/>
        <v>-0.06848972558175682</v>
      </c>
      <c r="N123" s="171">
        <f t="shared" si="88"/>
        <v>0.008418191818142242</v>
      </c>
      <c r="O123" s="171">
        <f t="shared" si="88"/>
        <v>0.13090143309844599</v>
      </c>
      <c r="P123" s="171">
        <f t="shared" si="88"/>
        <v>-0.077492672613193</v>
      </c>
      <c r="Q123" s="171">
        <f t="shared" si="88"/>
        <v>-0.18471351699252667</v>
      </c>
      <c r="R123" s="171">
        <f t="shared" si="88"/>
        <v>-0.20555849067584311</v>
      </c>
      <c r="S123" s="171">
        <f t="shared" si="88"/>
        <v>-0.31997266704744043</v>
      </c>
      <c r="V123" s="172"/>
      <c r="W123" s="55"/>
      <c r="AQ123" s="100"/>
      <c r="BG123" s="94"/>
    </row>
    <row r="124" spans="22:43" ht="15">
      <c r="V124" s="172"/>
      <c r="W124" s="55"/>
      <c r="AQ124" s="100"/>
    </row>
    <row r="125" spans="9:43" ht="15">
      <c r="I125" s="146"/>
      <c r="V125" s="172"/>
      <c r="W125" s="55"/>
      <c r="AQ125" s="100"/>
    </row>
    <row r="126" spans="9:43" ht="15">
      <c r="I126" s="146"/>
      <c r="V126" s="172"/>
      <c r="W126" s="55"/>
      <c r="AQ126" s="100"/>
    </row>
    <row r="127" spans="1:43" ht="15">
      <c r="A127" s="103" t="s">
        <v>56</v>
      </c>
      <c r="B127" s="103"/>
      <c r="C127" s="100"/>
      <c r="D127" s="100"/>
      <c r="E127" s="145"/>
      <c r="F127" s="100"/>
      <c r="G127" s="100"/>
      <c r="H127" s="100"/>
      <c r="I127" s="145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73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</row>
    <row r="128" spans="6:23" ht="15">
      <c r="F128" s="56"/>
      <c r="U128" s="55"/>
      <c r="V128" s="172"/>
      <c r="W128" s="55"/>
    </row>
    <row r="129" spans="6:23" ht="15">
      <c r="F129" s="56"/>
      <c r="U129" s="55"/>
      <c r="V129" s="172"/>
      <c r="W129" s="55"/>
    </row>
    <row r="130" spans="6:23" ht="15">
      <c r="F130" s="56"/>
      <c r="U130" s="55"/>
      <c r="V130" s="172"/>
      <c r="W130" s="55"/>
    </row>
    <row r="131" spans="3:62" ht="15">
      <c r="C131" s="174" t="s">
        <v>93</v>
      </c>
      <c r="D131" s="175"/>
      <c r="E131" s="176"/>
      <c r="F131" s="174" t="s">
        <v>91</v>
      </c>
      <c r="G131" s="175"/>
      <c r="H131" s="176"/>
      <c r="I131" s="174" t="s">
        <v>128</v>
      </c>
      <c r="J131" s="175"/>
      <c r="K131" s="175"/>
      <c r="L131" s="175"/>
      <c r="M131" s="175"/>
      <c r="N131" s="175"/>
      <c r="O131" s="175"/>
      <c r="P131" s="175"/>
      <c r="Q131" s="176"/>
      <c r="R131" s="177"/>
      <c r="S131" s="8"/>
      <c r="T131" s="8"/>
      <c r="V131" s="55"/>
      <c r="W131" s="55"/>
      <c r="X131" s="55"/>
      <c r="AL131" s="56"/>
      <c r="AN131" s="55"/>
      <c r="AQ131" s="56"/>
      <c r="AR131" s="56"/>
      <c r="AS131" s="55"/>
      <c r="AT131" s="55"/>
      <c r="BG131" s="56"/>
      <c r="BH131" s="56"/>
      <c r="BI131" s="55"/>
      <c r="BJ131" s="55"/>
    </row>
    <row r="132" spans="3:62" ht="15">
      <c r="C132" s="174" t="s">
        <v>92</v>
      </c>
      <c r="D132" s="175"/>
      <c r="E132" s="178"/>
      <c r="F132" s="174" t="s">
        <v>30</v>
      </c>
      <c r="G132" s="175"/>
      <c r="H132" s="176"/>
      <c r="I132" s="174" t="s">
        <v>30</v>
      </c>
      <c r="J132" s="175"/>
      <c r="K132" s="175"/>
      <c r="L132" s="175"/>
      <c r="M132" s="175"/>
      <c r="N132" s="175"/>
      <c r="O132" s="175"/>
      <c r="P132" s="175"/>
      <c r="Q132" s="176"/>
      <c r="R132" s="177"/>
      <c r="S132" s="8"/>
      <c r="T132" s="8"/>
      <c r="V132" s="55"/>
      <c r="W132" s="55"/>
      <c r="X132" s="55"/>
      <c r="AL132" s="56"/>
      <c r="AN132" s="55"/>
      <c r="AQ132" s="56"/>
      <c r="AR132" s="56"/>
      <c r="AS132" s="55"/>
      <c r="AT132" s="55"/>
      <c r="BG132" s="56"/>
      <c r="BH132" s="56"/>
      <c r="BI132" s="55"/>
      <c r="BJ132" s="55"/>
    </row>
    <row r="133" spans="3:62" ht="30">
      <c r="C133" s="179" t="str">
        <f>D100</f>
        <v>úroveň (mV)</v>
      </c>
      <c r="D133" s="179" t="str">
        <f>D98</f>
        <v>mV/dielik</v>
      </c>
      <c r="E133" s="62" t="s">
        <v>36</v>
      </c>
      <c r="F133" s="177" t="str">
        <f>H97</f>
        <v>1k</v>
      </c>
      <c r="G133" s="177" t="str">
        <f>I97</f>
        <v>10k</v>
      </c>
      <c r="H133" s="177" t="str">
        <f>J97</f>
        <v>100k</v>
      </c>
      <c r="I133" s="180"/>
      <c r="J133" s="177" t="str">
        <f aca="true" t="shared" si="89" ref="J133:Q133">L97</f>
        <v>100k</v>
      </c>
      <c r="K133" s="177" t="str">
        <f t="shared" si="89"/>
        <v>500k</v>
      </c>
      <c r="L133" s="177" t="str">
        <f t="shared" si="89"/>
        <v>1M</v>
      </c>
      <c r="M133" s="177" t="str">
        <f t="shared" si="89"/>
        <v>5M</v>
      </c>
      <c r="N133" s="177" t="str">
        <f t="shared" si="89"/>
        <v>10M</v>
      </c>
      <c r="O133" s="177" t="str">
        <f t="shared" si="89"/>
        <v>50M</v>
      </c>
      <c r="P133" s="177" t="str">
        <f t="shared" si="89"/>
        <v>100M</v>
      </c>
      <c r="Q133" s="177" t="str">
        <f t="shared" si="89"/>
        <v>200M</v>
      </c>
      <c r="R133" s="62" t="s">
        <v>42</v>
      </c>
      <c r="S133" s="8"/>
      <c r="T133" s="8"/>
      <c r="V133" s="55"/>
      <c r="W133" s="55"/>
      <c r="X133" s="55"/>
      <c r="AL133" s="56"/>
      <c r="AN133" s="55"/>
      <c r="AQ133" s="56"/>
      <c r="AR133" s="56"/>
      <c r="AS133" s="55"/>
      <c r="AT133" s="55"/>
      <c r="BG133" s="56"/>
      <c r="BH133" s="56"/>
      <c r="BI133" s="55"/>
      <c r="BJ133" s="55"/>
    </row>
    <row r="134" spans="3:62" ht="15">
      <c r="C134" s="181">
        <f>D101</f>
        <v>1000</v>
      </c>
      <c r="D134" s="181">
        <f>D99</f>
        <v>500</v>
      </c>
      <c r="E134" s="62" t="s">
        <v>129</v>
      </c>
      <c r="F134" s="182">
        <f>(H98^2-H99^2)^0.5-H115+$C134</f>
        <v>994.8964021727535</v>
      </c>
      <c r="G134" s="182">
        <f>(I98^2-I99^2)^0.5-I115+$C134</f>
        <v>970.7013140036058</v>
      </c>
      <c r="H134" s="183">
        <f>(J98^2-J99^2)^0.5-J115+$C134</f>
        <v>975.4075209683434</v>
      </c>
      <c r="I134" s="184"/>
      <c r="J134" s="185">
        <f aca="true" t="shared" si="90" ref="J134:Q134">(L98^2-L99^2)^0.5-L115+$F115</f>
        <v>979.1999999999999</v>
      </c>
      <c r="K134" s="185">
        <f t="shared" si="90"/>
        <v>982.3</v>
      </c>
      <c r="L134" s="185">
        <f t="shared" si="90"/>
        <v>969.3000000000001</v>
      </c>
      <c r="M134" s="185">
        <f t="shared" si="90"/>
        <v>969.2</v>
      </c>
      <c r="N134" s="185">
        <f t="shared" si="90"/>
        <v>966</v>
      </c>
      <c r="O134" s="185">
        <f t="shared" si="90"/>
        <v>965</v>
      </c>
      <c r="P134" s="185">
        <f t="shared" si="90"/>
        <v>912.4</v>
      </c>
      <c r="Q134" s="185">
        <f t="shared" si="90"/>
        <v>810</v>
      </c>
      <c r="R134" s="186"/>
      <c r="S134" s="8"/>
      <c r="T134" s="8"/>
      <c r="V134" s="55"/>
      <c r="W134" s="55"/>
      <c r="AL134" s="56"/>
      <c r="AN134" s="55"/>
      <c r="AQ134" s="56"/>
      <c r="AR134" s="56"/>
      <c r="AS134" s="55"/>
      <c r="AT134" s="55"/>
      <c r="BG134" s="56"/>
      <c r="BH134" s="56"/>
      <c r="BI134" s="55"/>
      <c r="BJ134" s="55"/>
    </row>
    <row r="135" spans="3:62" ht="15">
      <c r="C135" s="187"/>
      <c r="D135" s="188"/>
      <c r="E135" s="62" t="s">
        <v>13</v>
      </c>
      <c r="F135" s="182">
        <f>AU95/100*F134</f>
        <v>2.577419514837356</v>
      </c>
      <c r="G135" s="182">
        <f>AV95/100*G134</f>
        <v>2.4571105297349662</v>
      </c>
      <c r="H135" s="183" t="e">
        <f aca="true" t="shared" si="91" ref="H135:H145">(J99^2-J100^2)^0.5-J116+$C135</f>
        <v>#NUM!</v>
      </c>
      <c r="I135" s="184"/>
      <c r="J135" s="185">
        <f aca="true" t="shared" si="92" ref="J135:Q135">AY95/100*J134</f>
        <v>30.092618015526764</v>
      </c>
      <c r="K135" s="185">
        <f t="shared" si="92"/>
        <v>30.199239761723188</v>
      </c>
      <c r="L135" s="185">
        <f t="shared" si="92"/>
        <v>29.75554642836795</v>
      </c>
      <c r="M135" s="185">
        <f t="shared" si="92"/>
        <v>29.751537180458055</v>
      </c>
      <c r="N135" s="185">
        <f t="shared" si="92"/>
        <v>29.640414482834043</v>
      </c>
      <c r="O135" s="185">
        <f t="shared" si="92"/>
        <v>28.601170459048774</v>
      </c>
      <c r="P135" s="185">
        <f t="shared" si="92"/>
        <v>27.007233664052237</v>
      </c>
      <c r="Q135" s="185">
        <f t="shared" si="92"/>
        <v>23.86454603882153</v>
      </c>
      <c r="R135" s="186"/>
      <c r="S135" s="8"/>
      <c r="T135" s="8"/>
      <c r="V135" s="55"/>
      <c r="W135" s="55"/>
      <c r="AL135" s="56"/>
      <c r="AN135" s="55"/>
      <c r="AQ135" s="56"/>
      <c r="AR135" s="56"/>
      <c r="AS135" s="55"/>
      <c r="AT135" s="55"/>
      <c r="BG135" s="56"/>
      <c r="BH135" s="56"/>
      <c r="BI135" s="55"/>
      <c r="BJ135" s="55"/>
    </row>
    <row r="136" spans="3:62" ht="15">
      <c r="C136" s="187"/>
      <c r="D136" s="188"/>
      <c r="E136" s="62" t="s">
        <v>130</v>
      </c>
      <c r="F136" s="182">
        <f>(H100^2-H101^2)^0.5-H115+$C134</f>
        <v>995.0174573121167</v>
      </c>
      <c r="G136" s="182">
        <f>(I100^2-I101^2)^0.5-I115+$C134</f>
        <v>970.7274650074435</v>
      </c>
      <c r="H136" s="183">
        <f t="shared" si="91"/>
        <v>928.4643789917768</v>
      </c>
      <c r="I136" s="184"/>
      <c r="J136" s="185">
        <f aca="true" t="shared" si="93" ref="J136:Q136">(L100^2-L101^2)^0.5-L115+$F115</f>
        <v>974.8</v>
      </c>
      <c r="K136" s="185">
        <f t="shared" si="93"/>
        <v>980.9999999999999</v>
      </c>
      <c r="L136" s="185">
        <f t="shared" si="93"/>
        <v>968.5</v>
      </c>
      <c r="M136" s="185">
        <f t="shared" si="93"/>
        <v>972.7</v>
      </c>
      <c r="N136" s="185">
        <f t="shared" si="93"/>
        <v>968</v>
      </c>
      <c r="O136" s="185">
        <f t="shared" si="93"/>
        <v>958.0999999999999</v>
      </c>
      <c r="P136" s="185">
        <f t="shared" si="93"/>
        <v>917.3000000000001</v>
      </c>
      <c r="Q136" s="185">
        <f t="shared" si="93"/>
        <v>809.8</v>
      </c>
      <c r="R136" s="186"/>
      <c r="S136" s="8"/>
      <c r="T136" s="8"/>
      <c r="V136" s="55"/>
      <c r="W136" s="55"/>
      <c r="AL136" s="56"/>
      <c r="AN136" s="55"/>
      <c r="AQ136" s="56"/>
      <c r="AR136" s="56"/>
      <c r="AS136" s="55"/>
      <c r="AT136" s="55"/>
      <c r="BG136" s="56"/>
      <c r="BH136" s="56"/>
      <c r="BI136" s="55"/>
      <c r="BJ136" s="55"/>
    </row>
    <row r="137" spans="3:62" ht="15">
      <c r="C137" s="189"/>
      <c r="D137" s="190"/>
      <c r="E137" s="62" t="s">
        <v>13</v>
      </c>
      <c r="F137" s="182">
        <f>AU97/100*F136</f>
        <v>2.5635881969930336</v>
      </c>
      <c r="G137" s="182">
        <f>AV97/100*G136</f>
        <v>2.4219113350862247</v>
      </c>
      <c r="H137" s="183" t="e">
        <f t="shared" si="91"/>
        <v>#NUM!</v>
      </c>
      <c r="I137" s="184"/>
      <c r="J137" s="185">
        <f aca="true" t="shared" si="94" ref="J137:Q137">AY97/100*J136</f>
        <v>29.94307767942022</v>
      </c>
      <c r="K137" s="185">
        <f t="shared" si="94"/>
        <v>30.157167755086085</v>
      </c>
      <c r="L137" s="185">
        <f t="shared" si="94"/>
        <v>29.727663601959826</v>
      </c>
      <c r="M137" s="185">
        <f t="shared" si="94"/>
        <v>29.87135264090752</v>
      </c>
      <c r="N137" s="185">
        <f t="shared" si="94"/>
        <v>29.713085815979735</v>
      </c>
      <c r="O137" s="185">
        <f t="shared" si="94"/>
        <v>28.384553927122095</v>
      </c>
      <c r="P137" s="185">
        <f t="shared" si="94"/>
        <v>27.159923840178397</v>
      </c>
      <c r="Q137" s="185">
        <f t="shared" si="94"/>
        <v>23.858075709888283</v>
      </c>
      <c r="R137" s="186"/>
      <c r="S137" s="8"/>
      <c r="T137" s="8"/>
      <c r="V137" s="55"/>
      <c r="W137" s="55"/>
      <c r="AL137" s="56"/>
      <c r="AN137" s="55"/>
      <c r="AQ137" s="56"/>
      <c r="AR137" s="56"/>
      <c r="AS137" s="55"/>
      <c r="AT137" s="55"/>
      <c r="BG137" s="56"/>
      <c r="BH137" s="56"/>
      <c r="BI137" s="55"/>
      <c r="BJ137" s="55"/>
    </row>
    <row r="138" spans="3:62" ht="15">
      <c r="C138" s="181">
        <f>D105</f>
        <v>250</v>
      </c>
      <c r="D138" s="181">
        <f>D103</f>
        <v>100</v>
      </c>
      <c r="E138" s="62" t="s">
        <v>129</v>
      </c>
      <c r="F138" s="182">
        <f>(H102^2-H103^2)^0.5-H116+$C138</f>
        <v>198.4089705180427</v>
      </c>
      <c r="G138" s="182">
        <f>(I102^2-I103^2)^0.5-I116+$C138</f>
        <v>193.1095532764324</v>
      </c>
      <c r="H138" s="183">
        <f t="shared" si="91"/>
        <v>444.1695022396669</v>
      </c>
      <c r="I138" s="184"/>
      <c r="J138" s="182">
        <f aca="true" t="shared" si="95" ref="J138:Q138">(L102^2-L103^2)^0.5-L116+$F116</f>
        <v>245.42</v>
      </c>
      <c r="K138" s="182">
        <f t="shared" si="95"/>
        <v>245.59000000000003</v>
      </c>
      <c r="L138" s="182">
        <f t="shared" si="95"/>
        <v>241.97</v>
      </c>
      <c r="M138" s="182">
        <f t="shared" si="95"/>
        <v>239.11</v>
      </c>
      <c r="N138" s="182">
        <f t="shared" si="95"/>
        <v>240.45000000000005</v>
      </c>
      <c r="O138" s="182">
        <f t="shared" si="95"/>
        <v>242.61</v>
      </c>
      <c r="P138" s="182">
        <f t="shared" si="95"/>
        <v>231.4</v>
      </c>
      <c r="Q138" s="182">
        <f t="shared" si="95"/>
        <v>195.4</v>
      </c>
      <c r="R138" s="191"/>
      <c r="T138" s="56"/>
      <c r="V138" s="55"/>
      <c r="W138" s="55"/>
      <c r="AL138" s="56"/>
      <c r="AN138" s="55"/>
      <c r="AQ138" s="56"/>
      <c r="AR138" s="56"/>
      <c r="AS138" s="55"/>
      <c r="AT138" s="55"/>
      <c r="BG138" s="56"/>
      <c r="BH138" s="56"/>
      <c r="BI138" s="55"/>
      <c r="BJ138" s="55"/>
    </row>
    <row r="139" spans="3:62" ht="15">
      <c r="C139" s="187"/>
      <c r="D139" s="188"/>
      <c r="E139" s="62" t="s">
        <v>13</v>
      </c>
      <c r="F139" s="182">
        <f>AU99/100*F138</f>
        <v>0.7485619216395486</v>
      </c>
      <c r="G139" s="182">
        <f>AV99/100*G138</f>
        <v>0.7177159615050906</v>
      </c>
      <c r="H139" s="183" t="e">
        <f t="shared" si="91"/>
        <v>#NUM!</v>
      </c>
      <c r="I139" s="184"/>
      <c r="J139" s="182">
        <f aca="true" t="shared" si="96" ref="J139:Q139">AY99/100*J138</f>
        <v>7.145406996474771</v>
      </c>
      <c r="K139" s="182">
        <f t="shared" si="96"/>
        <v>7.16033323454031</v>
      </c>
      <c r="L139" s="182">
        <f t="shared" si="96"/>
        <v>7.050806795230044</v>
      </c>
      <c r="M139" s="182">
        <f t="shared" si="96"/>
        <v>6.964701144367705</v>
      </c>
      <c r="N139" s="182">
        <f t="shared" si="96"/>
        <v>7.001632816235861</v>
      </c>
      <c r="O139" s="182">
        <f t="shared" si="96"/>
        <v>7.05275568723909</v>
      </c>
      <c r="P139" s="182">
        <f t="shared" si="96"/>
        <v>6.728038096746724</v>
      </c>
      <c r="Q139" s="182">
        <f t="shared" si="96"/>
        <v>5.678379433571634</v>
      </c>
      <c r="R139" s="191"/>
      <c r="T139" s="56"/>
      <c r="V139" s="55"/>
      <c r="W139" s="55"/>
      <c r="AL139" s="56"/>
      <c r="AN139" s="55"/>
      <c r="AQ139" s="56"/>
      <c r="AR139" s="56"/>
      <c r="AS139" s="55"/>
      <c r="AT139" s="55"/>
      <c r="BG139" s="56"/>
      <c r="BH139" s="56"/>
      <c r="BI139" s="55"/>
      <c r="BJ139" s="55"/>
    </row>
    <row r="140" spans="3:58" s="55" customFormat="1" ht="15">
      <c r="C140" s="187"/>
      <c r="D140" s="188"/>
      <c r="E140" s="62" t="s">
        <v>130</v>
      </c>
      <c r="F140" s="182">
        <f>(H104^2-H105^2)^0.5-H116+$C138</f>
        <v>196.77931121979995</v>
      </c>
      <c r="G140" s="182">
        <f>(I104^2-I105^2)^0.5-I116+$C138</f>
        <v>191.17171010273648</v>
      </c>
      <c r="H140" s="183">
        <f t="shared" si="91"/>
        <v>192.52884355337514</v>
      </c>
      <c r="I140" s="184"/>
      <c r="J140" s="182">
        <f aca="true" t="shared" si="97" ref="J140:Q140">(L104^2-L105^2)^0.5-L116+$F116</f>
        <v>245.22</v>
      </c>
      <c r="K140" s="182">
        <f t="shared" si="97"/>
        <v>245.19000000000003</v>
      </c>
      <c r="L140" s="182">
        <f t="shared" si="97"/>
        <v>242.37</v>
      </c>
      <c r="M140" s="182">
        <f t="shared" si="97"/>
        <v>240.11</v>
      </c>
      <c r="N140" s="182">
        <f t="shared" si="97"/>
        <v>240.85000000000005</v>
      </c>
      <c r="O140" s="182">
        <f t="shared" si="97"/>
        <v>238.21</v>
      </c>
      <c r="P140" s="182">
        <f t="shared" si="97"/>
        <v>227.4</v>
      </c>
      <c r="Q140" s="182">
        <f t="shared" si="97"/>
        <v>187.8</v>
      </c>
      <c r="R140" s="191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</row>
    <row r="141" spans="3:58" s="55" customFormat="1" ht="15">
      <c r="C141" s="189"/>
      <c r="D141" s="190"/>
      <c r="E141" s="62" t="s">
        <v>13</v>
      </c>
      <c r="F141" s="182">
        <f>AU101/100*F140</f>
        <v>0.6647958718233543</v>
      </c>
      <c r="G141" s="182">
        <f>AV101/100*G140</f>
        <v>0.7641385269203075</v>
      </c>
      <c r="H141" s="183" t="e">
        <f t="shared" si="91"/>
        <v>#NUM!</v>
      </c>
      <c r="I141" s="184"/>
      <c r="J141" s="182">
        <f aca="true" t="shared" si="98" ref="J141:Q141">AY101/100*J140</f>
        <v>7.13955566618594</v>
      </c>
      <c r="K141" s="182">
        <f t="shared" si="98"/>
        <v>7.144910101594434</v>
      </c>
      <c r="L141" s="182">
        <f t="shared" si="98"/>
        <v>7.067534413275068</v>
      </c>
      <c r="M141" s="182">
        <f t="shared" si="98"/>
        <v>6.993921588599572</v>
      </c>
      <c r="N141" s="182">
        <f t="shared" si="98"/>
        <v>7.005706543795378</v>
      </c>
      <c r="O141" s="182">
        <f t="shared" si="98"/>
        <v>6.927616814916905</v>
      </c>
      <c r="P141" s="182">
        <f t="shared" si="98"/>
        <v>6.618731617279506</v>
      </c>
      <c r="Q141" s="182">
        <f t="shared" si="98"/>
        <v>5.463207400174597</v>
      </c>
      <c r="R141" s="191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</row>
    <row r="142" spans="3:58" s="55" customFormat="1" ht="15">
      <c r="C142" s="181">
        <f>D109</f>
        <v>50</v>
      </c>
      <c r="D142" s="181">
        <f>D107</f>
        <v>20</v>
      </c>
      <c r="E142" s="62" t="s">
        <v>129</v>
      </c>
      <c r="F142" s="182">
        <f>(H106^2-H107^2)^0.5-H117+$C142</f>
        <v>48.68388492748759</v>
      </c>
      <c r="G142" s="182">
        <f>(I106^2-I107^2)^0.5-I117+$C142</f>
        <v>48.32552113035731</v>
      </c>
      <c r="H142" s="183">
        <f t="shared" si="91"/>
        <v>97.48214295922205</v>
      </c>
      <c r="I142" s="184"/>
      <c r="J142" s="182">
        <f aca="true" t="shared" si="99" ref="J142:Q142">(L106^2-L107^2)^0.5-L117+$F117</f>
        <v>49.165000000000006</v>
      </c>
      <c r="K142" s="182">
        <f t="shared" si="99"/>
        <v>49.13999999999999</v>
      </c>
      <c r="L142" s="182">
        <f t="shared" si="99"/>
        <v>48.44500000000001</v>
      </c>
      <c r="M142" s="182">
        <f t="shared" si="99"/>
        <v>48.052</v>
      </c>
      <c r="N142" s="182">
        <f t="shared" si="99"/>
        <v>47.753</v>
      </c>
      <c r="O142" s="182">
        <f t="shared" si="99"/>
        <v>47.860000000000014</v>
      </c>
      <c r="P142" s="182">
        <f t="shared" si="99"/>
        <v>45.141000000000005</v>
      </c>
      <c r="Q142" s="182">
        <f t="shared" si="99"/>
        <v>37.589999999999996</v>
      </c>
      <c r="R142" s="191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</row>
    <row r="143" spans="3:58" s="55" customFormat="1" ht="15">
      <c r="C143" s="187"/>
      <c r="D143" s="188"/>
      <c r="E143" s="62" t="s">
        <v>13</v>
      </c>
      <c r="F143" s="182">
        <f>AU103/100*F142</f>
        <v>0.6941760856389106</v>
      </c>
      <c r="G143" s="182">
        <f>AV103/100*G142</f>
        <v>0.5808591217907841</v>
      </c>
      <c r="H143" s="183" t="e">
        <f t="shared" si="91"/>
        <v>#NUM!</v>
      </c>
      <c r="I143" s="184"/>
      <c r="J143" s="182">
        <f aca="true" t="shared" si="100" ref="J143:Q143">AY103/100*J142</f>
        <v>1.54930118493931</v>
      </c>
      <c r="K143" s="182">
        <f t="shared" si="100"/>
        <v>1.573710528499589</v>
      </c>
      <c r="L143" s="182">
        <f t="shared" si="100"/>
        <v>1.4663484527674486</v>
      </c>
      <c r="M143" s="182">
        <f t="shared" si="100"/>
        <v>1.5053186724960492</v>
      </c>
      <c r="N143" s="182">
        <f t="shared" si="100"/>
        <v>1.4740153694826672</v>
      </c>
      <c r="O143" s="182">
        <f t="shared" si="100"/>
        <v>1.4737823775769718</v>
      </c>
      <c r="P143" s="182">
        <f t="shared" si="100"/>
        <v>1.4419834425909406</v>
      </c>
      <c r="Q143" s="182">
        <f t="shared" si="100"/>
        <v>1.1883827841152728</v>
      </c>
      <c r="R143" s="191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</row>
    <row r="144" spans="3:58" s="55" customFormat="1" ht="15">
      <c r="C144" s="187"/>
      <c r="D144" s="188"/>
      <c r="E144" s="62" t="s">
        <v>130</v>
      </c>
      <c r="F144" s="182">
        <f>(H108^2-H109^2)^0.5-H117+$C142</f>
        <v>48.88082515511926</v>
      </c>
      <c r="G144" s="182">
        <f>(I108^2-I109^2)^0.5-I117+$C142</f>
        <v>47.717735545080664</v>
      </c>
      <c r="H144" s="183">
        <f t="shared" si="91"/>
        <v>49.14484408358623</v>
      </c>
      <c r="I144" s="184"/>
      <c r="J144" s="182">
        <f aca="true" t="shared" si="101" ref="J144:Q144">(L108^2-L109^2)^0.5-L117+$F117</f>
        <v>49.245000000000005</v>
      </c>
      <c r="K144" s="182">
        <f t="shared" si="101"/>
        <v>49.089999999999996</v>
      </c>
      <c r="L144" s="182">
        <f t="shared" si="101"/>
        <v>48.555</v>
      </c>
      <c r="M144" s="182">
        <f t="shared" si="101"/>
        <v>48.092000000000006</v>
      </c>
      <c r="N144" s="182">
        <f t="shared" si="101"/>
        <v>47.983</v>
      </c>
      <c r="O144" s="182">
        <f t="shared" si="101"/>
        <v>46.900000000000006</v>
      </c>
      <c r="P144" s="182">
        <f t="shared" si="101"/>
        <v>43.911</v>
      </c>
      <c r="Q144" s="182">
        <f t="shared" si="101"/>
        <v>36.03999999999999</v>
      </c>
      <c r="R144" s="191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</row>
    <row r="145" spans="3:20" s="55" customFormat="1" ht="15">
      <c r="C145" s="189"/>
      <c r="D145" s="190"/>
      <c r="E145" s="62" t="s">
        <v>13</v>
      </c>
      <c r="F145" s="182">
        <f>AU105/100*F144</f>
        <v>0.6075608121488668</v>
      </c>
      <c r="G145" s="182">
        <f>AV105/100*G144</f>
        <v>0.5427346914165544</v>
      </c>
      <c r="H145" s="183">
        <f t="shared" si="91"/>
        <v>3.7800000000000002</v>
      </c>
      <c r="I145" s="192"/>
      <c r="J145" s="182">
        <f aca="true" t="shared" si="102" ref="J145:Q145">AY105/100*J144</f>
        <v>1.5330746500778945</v>
      </c>
      <c r="K145" s="182">
        <f t="shared" si="102"/>
        <v>1.5062608415191971</v>
      </c>
      <c r="L145" s="182">
        <f t="shared" si="102"/>
        <v>1.4939815846815463</v>
      </c>
      <c r="M145" s="182">
        <f t="shared" si="102"/>
        <v>1.4799190084843208</v>
      </c>
      <c r="N145" s="182">
        <f t="shared" si="102"/>
        <v>1.4394843214230346</v>
      </c>
      <c r="O145" s="182">
        <f t="shared" si="102"/>
        <v>1.4613436569044251</v>
      </c>
      <c r="P145" s="182">
        <f t="shared" si="102"/>
        <v>1.3432162258516898</v>
      </c>
      <c r="Q145" s="182">
        <f t="shared" si="102"/>
        <v>1.1194862067827858</v>
      </c>
      <c r="R145" s="182"/>
      <c r="S145" s="172"/>
      <c r="T145" s="172"/>
    </row>
    <row r="146" spans="5:18" s="55" customFormat="1" ht="15">
      <c r="E146" s="101"/>
      <c r="H146" s="193"/>
      <c r="I146" s="172"/>
      <c r="J146" s="172"/>
      <c r="K146" s="170"/>
      <c r="L146" s="172"/>
      <c r="M146" s="172"/>
      <c r="N146" s="172"/>
      <c r="O146" s="172"/>
      <c r="P146" s="172"/>
      <c r="Q146" s="172"/>
      <c r="R146" s="172"/>
    </row>
    <row r="147" spans="5:18" s="55" customFormat="1" ht="15">
      <c r="E147" s="101"/>
      <c r="H147" s="193"/>
      <c r="I147" s="172"/>
      <c r="J147" s="172"/>
      <c r="K147" s="170"/>
      <c r="L147" s="172"/>
      <c r="M147" s="172"/>
      <c r="N147" s="172"/>
      <c r="O147" s="172"/>
      <c r="P147" s="172"/>
      <c r="Q147" s="172"/>
      <c r="R147" s="172"/>
    </row>
    <row r="148" spans="5:18" s="55" customFormat="1" ht="15">
      <c r="E148" s="101"/>
      <c r="H148" s="193"/>
      <c r="I148" s="172"/>
      <c r="J148" s="172"/>
      <c r="K148" s="170"/>
      <c r="L148" s="172"/>
      <c r="M148" s="172"/>
      <c r="N148" s="172"/>
      <c r="O148" s="172"/>
      <c r="P148" s="172"/>
      <c r="Q148" s="172"/>
      <c r="R148" s="172"/>
    </row>
    <row r="149" spans="5:18" s="55" customFormat="1" ht="15">
      <c r="E149" s="101"/>
      <c r="H149" s="193"/>
      <c r="I149" s="172"/>
      <c r="J149" s="172"/>
      <c r="K149" s="170"/>
      <c r="L149" s="172"/>
      <c r="M149" s="172"/>
      <c r="N149" s="172"/>
      <c r="O149" s="172"/>
      <c r="P149" s="172"/>
      <c r="Q149" s="172"/>
      <c r="R149" s="172"/>
    </row>
    <row r="150" spans="5:18" s="55" customFormat="1" ht="15">
      <c r="E150" s="101"/>
      <c r="H150" s="193"/>
      <c r="I150" s="172"/>
      <c r="J150" s="172"/>
      <c r="K150" s="170"/>
      <c r="L150" s="172"/>
      <c r="M150" s="172"/>
      <c r="N150" s="172"/>
      <c r="O150" s="172"/>
      <c r="P150" s="172"/>
      <c r="Q150" s="172"/>
      <c r="R150" s="172"/>
    </row>
    <row r="151" spans="1:60" ht="15">
      <c r="A151" s="84"/>
      <c r="B151" s="84"/>
      <c r="C151" s="174" t="s">
        <v>93</v>
      </c>
      <c r="D151" s="178"/>
      <c r="E151" s="194"/>
      <c r="F151" s="195"/>
      <c r="G151" s="196" t="s">
        <v>91</v>
      </c>
      <c r="H151" s="197"/>
      <c r="I151" s="177"/>
      <c r="J151" s="196"/>
      <c r="K151" s="195"/>
      <c r="L151" s="195"/>
      <c r="M151" s="195"/>
      <c r="N151" s="195"/>
      <c r="O151" s="195"/>
      <c r="P151" s="197"/>
      <c r="Q151" s="177"/>
      <c r="R151" s="177"/>
      <c r="T151" s="56"/>
      <c r="AI151" s="55"/>
      <c r="AL151" s="56"/>
      <c r="AN151" s="55"/>
      <c r="AO151" s="55"/>
      <c r="AQ151" s="56"/>
      <c r="AR151" s="56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6"/>
      <c r="BH151" s="56"/>
    </row>
    <row r="152" spans="1:60" ht="15">
      <c r="A152" s="84"/>
      <c r="B152" s="84"/>
      <c r="C152" s="174" t="s">
        <v>92</v>
      </c>
      <c r="D152" s="178"/>
      <c r="E152" s="194"/>
      <c r="F152" s="195"/>
      <c r="G152" s="196" t="s">
        <v>82</v>
      </c>
      <c r="H152" s="197"/>
      <c r="I152" s="177"/>
      <c r="J152" s="196" t="s">
        <v>82</v>
      </c>
      <c r="K152" s="195"/>
      <c r="L152" s="195"/>
      <c r="M152" s="195"/>
      <c r="N152" s="195"/>
      <c r="O152" s="195"/>
      <c r="P152" s="197"/>
      <c r="Q152" s="177"/>
      <c r="R152" s="177"/>
      <c r="T152" s="56"/>
      <c r="AI152" s="55"/>
      <c r="AL152" s="56"/>
      <c r="AN152" s="55"/>
      <c r="AO152" s="55"/>
      <c r="AQ152" s="56"/>
      <c r="AR152" s="56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6"/>
      <c r="BH152" s="56"/>
    </row>
    <row r="153" spans="1:60" ht="30">
      <c r="A153" s="84"/>
      <c r="B153" s="84"/>
      <c r="C153" s="198" t="str">
        <f>D100</f>
        <v>úroveň (mV)</v>
      </c>
      <c r="D153" s="198" t="str">
        <f>D98</f>
        <v>mV/dielik</v>
      </c>
      <c r="E153" s="62" t="s">
        <v>36</v>
      </c>
      <c r="F153" s="62" t="str">
        <f>H97</f>
        <v>1k</v>
      </c>
      <c r="G153" s="62" t="str">
        <f>I97</f>
        <v>10k</v>
      </c>
      <c r="H153" s="62" t="str">
        <f>J97</f>
        <v>100k</v>
      </c>
      <c r="I153" s="177"/>
      <c r="J153" s="177" t="str">
        <f aca="true" t="shared" si="103" ref="J153:P153">L97</f>
        <v>100k</v>
      </c>
      <c r="K153" s="177" t="str">
        <f t="shared" si="103"/>
        <v>500k</v>
      </c>
      <c r="L153" s="177" t="str">
        <f t="shared" si="103"/>
        <v>1M</v>
      </c>
      <c r="M153" s="177" t="str">
        <f t="shared" si="103"/>
        <v>5M</v>
      </c>
      <c r="N153" s="177" t="str">
        <f t="shared" si="103"/>
        <v>10M</v>
      </c>
      <c r="O153" s="177" t="str">
        <f t="shared" si="103"/>
        <v>50M</v>
      </c>
      <c r="P153" s="177" t="str">
        <f t="shared" si="103"/>
        <v>100M</v>
      </c>
      <c r="Q153" s="177"/>
      <c r="R153" s="62" t="s">
        <v>42</v>
      </c>
      <c r="T153" s="56"/>
      <c r="AI153" s="55"/>
      <c r="AL153" s="56"/>
      <c r="AN153" s="55"/>
      <c r="AO153" s="55"/>
      <c r="AQ153" s="56"/>
      <c r="AR153" s="56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6"/>
      <c r="BH153" s="56"/>
    </row>
    <row r="154" spans="1:60" ht="15">
      <c r="A154" s="84"/>
      <c r="B154" s="84"/>
      <c r="C154" s="199">
        <f>D101</f>
        <v>1000</v>
      </c>
      <c r="D154" s="199">
        <f>D99</f>
        <v>500</v>
      </c>
      <c r="E154" s="62" t="s">
        <v>129</v>
      </c>
      <c r="F154" s="78">
        <f>20*LOG10((H98^2-H99^2)^0.5/($J98^2-$J99^2)^0.5)-H121</f>
        <v>0.17082296787528456</v>
      </c>
      <c r="G154" s="78">
        <f>20*LOG10((I98^2-I99^2)^0.5/($J98^2-$J99^2)^0.5)-I121</f>
        <v>-0.04444797478620051</v>
      </c>
      <c r="H154" s="78">
        <f>20*LOG10((J98^2-J99^2)^0.5/($J98^2-$J99^2)^0.5)-J121</f>
        <v>0</v>
      </c>
      <c r="I154" s="200"/>
      <c r="J154" s="81">
        <f aca="true" t="shared" si="104" ref="J154:P154">20*LOG10((L98^2-L99^2)^0.5/($L98^2-$L99^2)^0.5)-L121</f>
        <v>0</v>
      </c>
      <c r="K154" s="81">
        <f t="shared" si="104"/>
        <v>0.025433958810275402</v>
      </c>
      <c r="L154" s="81">
        <f t="shared" si="104"/>
        <v>-0.08519620726791989</v>
      </c>
      <c r="M154" s="81">
        <f t="shared" si="104"/>
        <v>-0.08334135982815875</v>
      </c>
      <c r="N154" s="81">
        <f t="shared" si="104"/>
        <v>-0.11878003357004768</v>
      </c>
      <c r="O154" s="81">
        <f t="shared" si="104"/>
        <v>-0.13088339460386794</v>
      </c>
      <c r="P154" s="81">
        <f t="shared" si="104"/>
        <v>-0.6212043948450168</v>
      </c>
      <c r="Q154" s="201"/>
      <c r="R154" s="202"/>
      <c r="T154" s="56"/>
      <c r="AI154" s="55"/>
      <c r="AL154" s="56"/>
      <c r="AN154" s="55"/>
      <c r="AO154" s="55"/>
      <c r="AQ154" s="56"/>
      <c r="AR154" s="56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6"/>
      <c r="BH154" s="56"/>
    </row>
    <row r="155" spans="1:60" ht="15">
      <c r="A155" s="84"/>
      <c r="B155" s="84"/>
      <c r="C155" s="187"/>
      <c r="D155" s="187"/>
      <c r="E155" s="62" t="s">
        <v>13</v>
      </c>
      <c r="F155" s="78">
        <f>20*LOG10(AU95/100+1)</f>
        <v>0.022472925641251525</v>
      </c>
      <c r="G155" s="78">
        <f>20*LOG10(AV95/100+1)</f>
        <v>0.021958582539143897</v>
      </c>
      <c r="H155" s="78">
        <f>20*LOG10(AW95/100+1)</f>
        <v>0.02222592493728014</v>
      </c>
      <c r="I155" s="200"/>
      <c r="J155" s="81">
        <f aca="true" t="shared" si="105" ref="J155:P155">20*LOG10(AY95/100+1)</f>
        <v>0.26291384051343536</v>
      </c>
      <c r="K155" s="81">
        <f t="shared" si="105"/>
        <v>0.2630112349732615</v>
      </c>
      <c r="L155" s="81">
        <f t="shared" si="105"/>
        <v>0.2626284494471215</v>
      </c>
      <c r="M155" s="81">
        <f t="shared" si="105"/>
        <v>0.2626202809233204</v>
      </c>
      <c r="N155" s="81">
        <f t="shared" si="105"/>
        <v>0.2625078103861462</v>
      </c>
      <c r="O155" s="81">
        <f t="shared" si="105"/>
        <v>0.25369562173090704</v>
      </c>
      <c r="P155" s="81">
        <f t="shared" si="105"/>
        <v>0.25337246857149054</v>
      </c>
      <c r="Q155" s="201"/>
      <c r="R155" s="202"/>
      <c r="T155" s="56"/>
      <c r="AI155" s="55"/>
      <c r="AL155" s="56"/>
      <c r="AN155" s="55"/>
      <c r="AO155" s="55"/>
      <c r="AQ155" s="56"/>
      <c r="AR155" s="56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6"/>
      <c r="BH155" s="56"/>
    </row>
    <row r="156" spans="1:60" ht="15">
      <c r="A156" s="84"/>
      <c r="B156" s="84"/>
      <c r="C156" s="187"/>
      <c r="D156" s="187"/>
      <c r="E156" s="62" t="s">
        <v>130</v>
      </c>
      <c r="F156" s="78">
        <f>20*LOG10((H100^2-H101^2)^0.5/($J100^2-$J101^2)^0.5)-H121</f>
        <v>0.16375337666973205</v>
      </c>
      <c r="G156" s="78">
        <f>20*LOG10((I100^2-I101^2)^0.5/($J100^2-$J101^2)^0.5)-I121</f>
        <v>-0.05234574991361328</v>
      </c>
      <c r="H156" s="78">
        <f>20*LOG10((J100^2-J101^2)^0.5/($J100^2-$J101^2)^0.5)-J121</f>
        <v>0</v>
      </c>
      <c r="I156" s="200"/>
      <c r="J156" s="81">
        <f aca="true" t="shared" si="106" ref="J156:P156">20*LOG10((L100^2-L101^2)^0.5/($L100^2-$L101^2)^0.5)-L121</f>
        <v>0</v>
      </c>
      <c r="K156" s="81">
        <f t="shared" si="106"/>
        <v>0.0519652576475616</v>
      </c>
      <c r="L156" s="81">
        <f t="shared" si="106"/>
        <v>-0.05441494555759191</v>
      </c>
      <c r="M156" s="81">
        <f t="shared" si="106"/>
        <v>-0.01578275785331483</v>
      </c>
      <c r="N156" s="81">
        <f t="shared" si="106"/>
        <v>-0.06346577568075412</v>
      </c>
      <c r="O156" s="81">
        <f t="shared" si="106"/>
        <v>-0.15499178158647203</v>
      </c>
      <c r="P156" s="81">
        <f t="shared" si="106"/>
        <v>-0.5369320241076911</v>
      </c>
      <c r="Q156" s="201"/>
      <c r="R156" s="202"/>
      <c r="T156" s="56"/>
      <c r="AI156" s="55"/>
      <c r="AL156" s="56"/>
      <c r="AN156" s="55"/>
      <c r="AO156" s="55"/>
      <c r="AQ156" s="56"/>
      <c r="AR156" s="56"/>
      <c r="BC156" s="55"/>
      <c r="BD156" s="55"/>
      <c r="BE156" s="55"/>
      <c r="BG156" s="56"/>
      <c r="BH156" s="56"/>
    </row>
    <row r="157" spans="1:60" ht="15">
      <c r="A157" s="84"/>
      <c r="B157" s="84"/>
      <c r="C157" s="189"/>
      <c r="D157" s="189"/>
      <c r="E157" s="62" t="s">
        <v>13</v>
      </c>
      <c r="F157" s="78">
        <f>20*LOG10(AU97/100+1)</f>
        <v>0.022349767312046628</v>
      </c>
      <c r="G157" s="78">
        <f>20*LOG10(AV97/100+1)</f>
        <v>0.021643825377522446</v>
      </c>
      <c r="H157" s="78">
        <f>20*LOG10(AW97/100+1)</f>
        <v>0.02086701007159301</v>
      </c>
      <c r="I157" s="200"/>
      <c r="J157" s="81">
        <f aca="true" t="shared" si="107" ref="J157:P157">20*LOG10(AY97/100+1)</f>
        <v>0.26279004455971927</v>
      </c>
      <c r="K157" s="81">
        <f t="shared" si="107"/>
        <v>0.26299314787626654</v>
      </c>
      <c r="L157" s="81">
        <f t="shared" si="107"/>
        <v>0.2625995224469207</v>
      </c>
      <c r="M157" s="81">
        <f t="shared" si="107"/>
        <v>0.26272750196038847</v>
      </c>
      <c r="N157" s="81">
        <f t="shared" si="107"/>
        <v>0.2626062214300015</v>
      </c>
      <c r="O157" s="81">
        <f t="shared" si="107"/>
        <v>0.2535889885126351</v>
      </c>
      <c r="P157" s="81">
        <f t="shared" si="107"/>
        <v>0.2534428154639703</v>
      </c>
      <c r="Q157" s="201"/>
      <c r="R157" s="202"/>
      <c r="T157" s="56"/>
      <c r="AI157" s="55"/>
      <c r="AL157" s="56"/>
      <c r="AN157" s="55"/>
      <c r="AO157" s="55"/>
      <c r="AQ157" s="56"/>
      <c r="AR157" s="56"/>
      <c r="BC157" s="55"/>
      <c r="BD157" s="55"/>
      <c r="BE157" s="55"/>
      <c r="BG157" s="56"/>
      <c r="BH157" s="56"/>
    </row>
    <row r="158" spans="1:60" ht="15">
      <c r="A158" s="84"/>
      <c r="B158" s="84"/>
      <c r="C158" s="199">
        <f>D105</f>
        <v>250</v>
      </c>
      <c r="D158" s="199">
        <f>D103</f>
        <v>100</v>
      </c>
      <c r="E158" s="62" t="s">
        <v>129</v>
      </c>
      <c r="F158" s="78">
        <f>20*LOG10((H102^2-H103^2)^0.5/($J102^2-$J103^2)^0.5)-H122</f>
        <v>0.21464706649935628</v>
      </c>
      <c r="G158" s="78">
        <f>20*LOG10((I102^2-I103^2)^0.5/($J102^2-$J103^2)^0.5)-I122</f>
        <v>-0.02244161704279364</v>
      </c>
      <c r="H158" s="78">
        <f>20*LOG10((J102^2-J103^2)^0.5/($J102^2-$J103^2)^0.5)-J122</f>
        <v>0</v>
      </c>
      <c r="I158" s="200"/>
      <c r="J158" s="81">
        <f aca="true" t="shared" si="108" ref="J158:P158">20*LOG10((L102^2-L103^2)^0.5/($L102^2-$L103^2)^0.5)-L122</f>
        <v>0</v>
      </c>
      <c r="K158" s="81">
        <f t="shared" si="108"/>
        <v>0.0046461284042158685</v>
      </c>
      <c r="L158" s="81">
        <f t="shared" si="108"/>
        <v>-0.11909493886442447</v>
      </c>
      <c r="M158" s="81">
        <f t="shared" si="108"/>
        <v>-0.21433017650976852</v>
      </c>
      <c r="N158" s="81">
        <f t="shared" si="108"/>
        <v>-0.17582194296858375</v>
      </c>
      <c r="O158" s="81">
        <f t="shared" si="108"/>
        <v>-0.10294841986981165</v>
      </c>
      <c r="P158" s="81">
        <f t="shared" si="108"/>
        <v>-0.5141673060610223</v>
      </c>
      <c r="Q158" s="201"/>
      <c r="R158" s="202"/>
      <c r="T158" s="56"/>
      <c r="AI158" s="55"/>
      <c r="AL158" s="56"/>
      <c r="AN158" s="55"/>
      <c r="AO158" s="55"/>
      <c r="AQ158" s="56"/>
      <c r="AR158" s="56"/>
      <c r="BC158" s="55"/>
      <c r="BD158" s="55"/>
      <c r="BE158" s="55"/>
      <c r="BG158" s="56"/>
      <c r="BH158" s="56"/>
    </row>
    <row r="159" spans="1:60" ht="15">
      <c r="A159" s="84"/>
      <c r="B159" s="84"/>
      <c r="C159" s="187"/>
      <c r="D159" s="187"/>
      <c r="E159" s="62" t="s">
        <v>13</v>
      </c>
      <c r="F159" s="78">
        <f>20*LOG10(AU99/100+1)</f>
        <v>0.03270866068303576</v>
      </c>
      <c r="G159" s="78">
        <f>20*LOG10(AV99/100+1)</f>
        <v>0.03222235992963941</v>
      </c>
      <c r="H159" s="78">
        <f>20*LOG10(AW99/100+1)</f>
        <v>0.04577462079845173</v>
      </c>
      <c r="I159" s="200"/>
      <c r="J159" s="81">
        <f aca="true" t="shared" si="109" ref="J159:P159">20*LOG10(AY99/100+1)</f>
        <v>0.24927829438040297</v>
      </c>
      <c r="K159" s="81">
        <f t="shared" si="109"/>
        <v>0.24962115485642336</v>
      </c>
      <c r="L159" s="81">
        <f t="shared" si="109"/>
        <v>0.2494822272381135</v>
      </c>
      <c r="M159" s="81">
        <f t="shared" si="109"/>
        <v>0.2493845375561876</v>
      </c>
      <c r="N159" s="81">
        <f t="shared" si="109"/>
        <v>0.2493108490118101</v>
      </c>
      <c r="O159" s="81">
        <f t="shared" si="109"/>
        <v>0.24890123916504772</v>
      </c>
      <c r="P159" s="81">
        <f t="shared" si="109"/>
        <v>0.2489435855268986</v>
      </c>
      <c r="Q159" s="201"/>
      <c r="R159" s="202"/>
      <c r="T159" s="56"/>
      <c r="AI159" s="55"/>
      <c r="AL159" s="56"/>
      <c r="AN159" s="55"/>
      <c r="AO159" s="55"/>
      <c r="AQ159" s="56"/>
      <c r="AR159" s="56"/>
      <c r="BC159" s="55"/>
      <c r="BD159" s="55"/>
      <c r="BE159" s="55"/>
      <c r="BG159" s="56"/>
      <c r="BH159" s="56"/>
    </row>
    <row r="160" spans="1:60" ht="15">
      <c r="A160" s="84"/>
      <c r="B160" s="84"/>
      <c r="C160" s="187"/>
      <c r="D160" s="187"/>
      <c r="E160" s="62" t="s">
        <v>130</v>
      </c>
      <c r="F160" s="78">
        <f>20*LOG10((H104^2-H105^2)^0.5/($J104^2-$J105^2)^0.5)-H122</f>
        <v>0.21612927094951445</v>
      </c>
      <c r="G160" s="78">
        <f>20*LOG10((I104^2-I105^2)^0.5/($J104^2-$J105^2)^0.5)-I122</f>
        <v>-0.03707553061750615</v>
      </c>
      <c r="H160" s="78">
        <f>20*LOG10((J104^2-J105^2)^0.5/($J104^2-$J105^2)^0.5)-J122</f>
        <v>0</v>
      </c>
      <c r="I160" s="200"/>
      <c r="J160" s="81">
        <f aca="true" t="shared" si="110" ref="J160:P160">20*LOG10((L104^2-L105^2)^0.5/($L104^2-$L105^2)^0.5)-L122</f>
        <v>0</v>
      </c>
      <c r="K160" s="81">
        <f t="shared" si="110"/>
        <v>-0.002282405535592974</v>
      </c>
      <c r="L160" s="81">
        <f t="shared" si="110"/>
        <v>-0.09841599558107916</v>
      </c>
      <c r="M160" s="81">
        <f t="shared" si="110"/>
        <v>-0.17294045742126307</v>
      </c>
      <c r="N160" s="81">
        <f t="shared" si="110"/>
        <v>-0.15488989793445143</v>
      </c>
      <c r="O160" s="81">
        <f t="shared" si="110"/>
        <v>-0.25333753720545216</v>
      </c>
      <c r="P160" s="81">
        <f t="shared" si="110"/>
        <v>-0.6582074254358201</v>
      </c>
      <c r="Q160" s="201"/>
      <c r="R160" s="202"/>
      <c r="T160" s="56"/>
      <c r="AI160" s="55"/>
      <c r="AL160" s="56"/>
      <c r="AN160" s="55"/>
      <c r="AO160" s="55"/>
      <c r="AQ160" s="56"/>
      <c r="AR160" s="56"/>
      <c r="BC160" s="55"/>
      <c r="BD160" s="55"/>
      <c r="BE160" s="55"/>
      <c r="BG160" s="56"/>
      <c r="BH160" s="56"/>
    </row>
    <row r="161" spans="1:60" ht="15">
      <c r="A161" s="84"/>
      <c r="B161" s="84"/>
      <c r="C161" s="189"/>
      <c r="D161" s="189"/>
      <c r="E161" s="62" t="s">
        <v>13</v>
      </c>
      <c r="F161" s="78">
        <f>20*LOG10(AU101/100+1)</f>
        <v>0.029294804823330294</v>
      </c>
      <c r="G161" s="78">
        <f>20*LOG10(AV101/100+1)</f>
        <v>0.03464944276606061</v>
      </c>
      <c r="H161" s="78">
        <f>20*LOG10(AW101/100+1)</f>
        <v>0.03185790216423343</v>
      </c>
      <c r="I161" s="200"/>
      <c r="J161" s="81">
        <f aca="true" t="shared" si="111" ref="J161:P161">20*LOG10(AY101/100+1)</f>
        <v>0.24927731939222614</v>
      </c>
      <c r="K161" s="81">
        <f t="shared" si="111"/>
        <v>0.2494916986341045</v>
      </c>
      <c r="L161" s="81">
        <f t="shared" si="111"/>
        <v>0.2496588438810746</v>
      </c>
      <c r="M161" s="81">
        <f t="shared" si="111"/>
        <v>0.24938780099759997</v>
      </c>
      <c r="N161" s="81">
        <f t="shared" si="111"/>
        <v>0.2490454350260275</v>
      </c>
      <c r="O161" s="81">
        <f t="shared" si="111"/>
        <v>0.24899941074126042</v>
      </c>
      <c r="P161" s="81">
        <f t="shared" si="111"/>
        <v>0.2492032157356758</v>
      </c>
      <c r="Q161" s="201"/>
      <c r="R161" s="202"/>
      <c r="T161" s="56"/>
      <c r="AI161" s="55"/>
      <c r="AL161" s="56"/>
      <c r="AN161" s="55"/>
      <c r="AO161" s="55"/>
      <c r="AQ161" s="56"/>
      <c r="AR161" s="56"/>
      <c r="BC161" s="55"/>
      <c r="BD161" s="55"/>
      <c r="BE161" s="55"/>
      <c r="BG161" s="56"/>
      <c r="BH161" s="56"/>
    </row>
    <row r="162" spans="1:60" ht="15">
      <c r="A162" s="84"/>
      <c r="B162" s="84"/>
      <c r="C162" s="199">
        <f>D109</f>
        <v>50</v>
      </c>
      <c r="D162" s="199">
        <f>D107</f>
        <v>20</v>
      </c>
      <c r="E162" s="62" t="s">
        <v>129</v>
      </c>
      <c r="F162" s="78">
        <f>20*LOG10((H106^2-H107^2)^0.5/($J106^2-$J107^2)^0.5)-H123</f>
        <v>0.41503775370917984</v>
      </c>
      <c r="G162" s="78">
        <f>20*LOG10((I106^2-I107^2)^0.5/($J106^2-$J107^2)^0.5)-I123</f>
        <v>0.35050501374673615</v>
      </c>
      <c r="H162" s="78">
        <f>20*LOG10((J106^2-J107^2)^0.5/($J106^2-$J107^2)^0.5)-J123</f>
        <v>0</v>
      </c>
      <c r="I162" s="200"/>
      <c r="J162" s="81">
        <f aca="true" t="shared" si="112" ref="J162:P162">20*LOG10((L106^2-L107^2)^0.5/($L106^2-$L107^2)^0.5)-L123</f>
        <v>0</v>
      </c>
      <c r="K162" s="81">
        <f t="shared" si="112"/>
        <v>-0.005447819647779642</v>
      </c>
      <c r="L162" s="81">
        <f t="shared" si="112"/>
        <v>-0.12389853272213763</v>
      </c>
      <c r="M162" s="81">
        <f t="shared" si="112"/>
        <v>-0.1875879505360244</v>
      </c>
      <c r="N162" s="81">
        <f t="shared" si="112"/>
        <v>-0.24873532098653311</v>
      </c>
      <c r="O162" s="81">
        <f t="shared" si="112"/>
        <v>-0.2344508079229263</v>
      </c>
      <c r="P162" s="81">
        <f t="shared" si="112"/>
        <v>-0.7395108225299919</v>
      </c>
      <c r="Q162" s="201"/>
      <c r="R162" s="202"/>
      <c r="T162" s="56"/>
      <c r="AI162" s="55"/>
      <c r="AL162" s="56"/>
      <c r="AN162" s="55"/>
      <c r="AO162" s="55"/>
      <c r="AQ162" s="56"/>
      <c r="AR162" s="56"/>
      <c r="BC162" s="55"/>
      <c r="BD162" s="55"/>
      <c r="BE162" s="55"/>
      <c r="BG162" s="56"/>
      <c r="BH162" s="56"/>
    </row>
    <row r="163" spans="1:60" ht="15">
      <c r="A163" s="84"/>
      <c r="B163" s="84"/>
      <c r="C163" s="187"/>
      <c r="D163" s="187"/>
      <c r="E163" s="62" t="s">
        <v>13</v>
      </c>
      <c r="F163" s="78">
        <f>20*LOG10(AU103/100+1)</f>
        <v>0.12297609497788782</v>
      </c>
      <c r="G163" s="78">
        <f>20*LOG10(AV103/100+1)</f>
        <v>0.10377948339119891</v>
      </c>
      <c r="H163" s="78">
        <f>20*LOG10(AW103/100+1)</f>
        <v>0.07722699755673476</v>
      </c>
      <c r="I163" s="200"/>
      <c r="J163" s="81">
        <f aca="true" t="shared" si="113" ref="J163:P163">20*LOG10(AY103/100+1)</f>
        <v>0.26948804052869807</v>
      </c>
      <c r="K163" s="81">
        <f t="shared" si="113"/>
        <v>0.2738047046956713</v>
      </c>
      <c r="L163" s="81">
        <f t="shared" si="113"/>
        <v>0.2590068619613214</v>
      </c>
      <c r="M163" s="81">
        <f t="shared" si="113"/>
        <v>0.2679266436548783</v>
      </c>
      <c r="N163" s="81">
        <f t="shared" si="113"/>
        <v>0.2640568949375283</v>
      </c>
      <c r="O163" s="81">
        <f t="shared" si="113"/>
        <v>0.26343438872088</v>
      </c>
      <c r="P163" s="81">
        <f t="shared" si="113"/>
        <v>0.273122482364026</v>
      </c>
      <c r="Q163" s="201"/>
      <c r="R163" s="202"/>
      <c r="T163" s="56"/>
      <c r="AI163" s="55"/>
      <c r="AL163" s="56"/>
      <c r="AN163" s="55"/>
      <c r="AO163" s="55"/>
      <c r="AQ163" s="56"/>
      <c r="AR163" s="56"/>
      <c r="BC163" s="55"/>
      <c r="BD163" s="55"/>
      <c r="BE163" s="55"/>
      <c r="BG163" s="56"/>
      <c r="BH163" s="56"/>
    </row>
    <row r="164" spans="1:60" ht="15">
      <c r="A164" s="84"/>
      <c r="B164" s="84"/>
      <c r="C164" s="187"/>
      <c r="D164" s="187"/>
      <c r="E164" s="62" t="s">
        <v>130</v>
      </c>
      <c r="F164" s="78">
        <f>20*LOG10((H108^2-H109^2)^0.5/($J108^2-$J109^2)^0.5)-H123</f>
        <v>0.15134588068910423</v>
      </c>
      <c r="G164" s="78">
        <f>20*LOG10((I108^2-I109^2)^0.5/($J108^2-$J109^2)^0.5)-I123</f>
        <v>-0.059003823263928945</v>
      </c>
      <c r="H164" s="78">
        <f>20*LOG10((J108^2-J109^2)^0.5/($J108^2-$J109^2)^0.5)-J123</f>
        <v>0</v>
      </c>
      <c r="I164" s="200"/>
      <c r="J164" s="81">
        <f aca="true" t="shared" si="114" ref="J164:P164">20*LOG10((L108^2-L109^2)^0.5/($L108^2-$L109^2)^0.5)-L123</f>
        <v>0</v>
      </c>
      <c r="K164" s="81">
        <f t="shared" si="114"/>
        <v>-0.027772850773627802</v>
      </c>
      <c r="L164" s="81">
        <f t="shared" si="114"/>
        <v>-0.1185200694690274</v>
      </c>
      <c r="M164" s="81">
        <f t="shared" si="114"/>
        <v>-0.19438377328347847</v>
      </c>
      <c r="N164" s="81">
        <f t="shared" si="114"/>
        <v>-0.2216305835953329</v>
      </c>
      <c r="O164" s="81">
        <f t="shared" si="114"/>
        <v>-0.4223692534784622</v>
      </c>
      <c r="P164" s="81">
        <f t="shared" si="114"/>
        <v>-0.991234967953112</v>
      </c>
      <c r="Q164" s="201"/>
      <c r="R164" s="202"/>
      <c r="T164" s="56"/>
      <c r="AI164" s="55"/>
      <c r="AL164" s="56"/>
      <c r="AN164" s="55"/>
      <c r="AO164" s="55"/>
      <c r="AQ164" s="56"/>
      <c r="AR164" s="56"/>
      <c r="BC164" s="55"/>
      <c r="BD164" s="55"/>
      <c r="BE164" s="55"/>
      <c r="BG164" s="56"/>
      <c r="BH164" s="56"/>
    </row>
    <row r="165" spans="1:60" ht="15">
      <c r="A165" s="84"/>
      <c r="B165" s="84"/>
      <c r="C165" s="189"/>
      <c r="D165" s="189"/>
      <c r="E165" s="62" t="s">
        <v>13</v>
      </c>
      <c r="F165" s="78">
        <f>20*LOG10(AU105/100+1)</f>
        <v>0.10729522392971991</v>
      </c>
      <c r="G165" s="78">
        <f>20*LOG10(AV105/100+1)</f>
        <v>0.09823446566886294</v>
      </c>
      <c r="H165" s="78">
        <f>20*LOG10(AW105/100+1)</f>
        <v>0.08617225262815897</v>
      </c>
      <c r="I165" s="177"/>
      <c r="J165" s="81">
        <f aca="true" t="shared" si="115" ref="J165:P165">20*LOG10(AY105/100+1)</f>
        <v>0.26628175881922295</v>
      </c>
      <c r="K165" s="81">
        <f t="shared" si="115"/>
        <v>0.26250781499694514</v>
      </c>
      <c r="L165" s="81">
        <f t="shared" si="115"/>
        <v>0.26322572522237236</v>
      </c>
      <c r="M165" s="81">
        <f t="shared" si="115"/>
        <v>0.26325786061129697</v>
      </c>
      <c r="N165" s="81">
        <f t="shared" si="115"/>
        <v>0.25674349610646624</v>
      </c>
      <c r="O165" s="81">
        <f t="shared" si="115"/>
        <v>0.2665103189488679</v>
      </c>
      <c r="P165" s="81">
        <f t="shared" si="115"/>
        <v>0.2617144008182026</v>
      </c>
      <c r="Q165" s="191"/>
      <c r="R165" s="202"/>
      <c r="T165" s="56"/>
      <c r="AI165" s="55"/>
      <c r="AL165" s="56"/>
      <c r="AN165" s="55"/>
      <c r="AO165" s="55"/>
      <c r="AQ165" s="56"/>
      <c r="AR165" s="56"/>
      <c r="BC165" s="55"/>
      <c r="BD165" s="55"/>
      <c r="BE165" s="55"/>
      <c r="BG165" s="56"/>
      <c r="BH165" s="56"/>
    </row>
    <row r="166" spans="55:57" ht="15">
      <c r="BC166" s="55"/>
      <c r="BD166" s="55"/>
      <c r="BE166" s="55"/>
    </row>
    <row r="167" spans="55:57" ht="15">
      <c r="BC167" s="55"/>
      <c r="BD167" s="55"/>
      <c r="BE167" s="55"/>
    </row>
    <row r="168" spans="55:57" ht="15">
      <c r="BC168" s="55"/>
      <c r="BD168" s="55"/>
      <c r="BE168" s="55"/>
    </row>
    <row r="169" spans="55:57" ht="15">
      <c r="BC169" s="55"/>
      <c r="BD169" s="55"/>
      <c r="BE169" s="55"/>
    </row>
    <row r="170" spans="55:57" ht="15">
      <c r="BC170" s="55"/>
      <c r="BD170" s="55"/>
      <c r="BE170" s="55"/>
    </row>
    <row r="172" spans="12:20" ht="15">
      <c r="L172" s="56"/>
      <c r="M172" s="56"/>
      <c r="N172" s="56"/>
      <c r="O172" s="56"/>
      <c r="P172" s="56"/>
      <c r="Q172" s="56"/>
      <c r="R172" s="56"/>
      <c r="T172" s="56"/>
    </row>
    <row r="173" spans="12:20" ht="15">
      <c r="L173" s="56"/>
      <c r="M173" s="56"/>
      <c r="N173" s="56"/>
      <c r="O173" s="56"/>
      <c r="P173" s="56"/>
      <c r="Q173" s="56"/>
      <c r="R173" s="56"/>
      <c r="T173" s="56"/>
    </row>
    <row r="174" spans="12:20" ht="15">
      <c r="L174" s="56"/>
      <c r="M174" s="56"/>
      <c r="N174" s="56"/>
      <c r="O174" s="56"/>
      <c r="P174" s="56"/>
      <c r="Q174" s="56"/>
      <c r="R174" s="56"/>
      <c r="T174" s="56"/>
    </row>
    <row r="175" spans="12:20" ht="15">
      <c r="L175" s="56"/>
      <c r="M175" s="56"/>
      <c r="N175" s="56"/>
      <c r="O175" s="56"/>
      <c r="P175" s="56"/>
      <c r="Q175" s="56"/>
      <c r="R175" s="56"/>
      <c r="T175" s="56"/>
    </row>
    <row r="176" spans="12:20" ht="15">
      <c r="L176" s="56"/>
      <c r="M176" s="56"/>
      <c r="N176" s="56"/>
      <c r="O176" s="56"/>
      <c r="P176" s="56"/>
      <c r="Q176" s="56"/>
      <c r="R176" s="56"/>
      <c r="T176" s="56"/>
    </row>
    <row r="177" spans="12:20" ht="15">
      <c r="L177" s="56"/>
      <c r="M177" s="56"/>
      <c r="N177" s="56"/>
      <c r="O177" s="56"/>
      <c r="P177" s="56"/>
      <c r="Q177" s="56"/>
      <c r="R177" s="56"/>
      <c r="T177" s="56"/>
    </row>
    <row r="178" spans="12:20" ht="15">
      <c r="L178" s="56"/>
      <c r="M178" s="56"/>
      <c r="N178" s="56"/>
      <c r="O178" s="56"/>
      <c r="P178" s="56"/>
      <c r="Q178" s="56"/>
      <c r="R178" s="56"/>
      <c r="T178" s="56"/>
    </row>
    <row r="179" spans="12:20" ht="15">
      <c r="L179" s="56"/>
      <c r="M179" s="56"/>
      <c r="N179" s="56"/>
      <c r="O179" s="56"/>
      <c r="P179" s="56"/>
      <c r="Q179" s="56"/>
      <c r="R179" s="56"/>
      <c r="T179" s="56"/>
    </row>
    <row r="180" spans="12:20" ht="15">
      <c r="L180" s="56"/>
      <c r="M180" s="56"/>
      <c r="N180" s="56"/>
      <c r="O180" s="56"/>
      <c r="P180" s="56"/>
      <c r="Q180" s="56"/>
      <c r="R180" s="56"/>
      <c r="T180" s="56"/>
    </row>
    <row r="181" spans="12:20" ht="15">
      <c r="L181" s="56"/>
      <c r="M181" s="56"/>
      <c r="N181" s="56"/>
      <c r="O181" s="56"/>
      <c r="P181" s="56"/>
      <c r="Q181" s="56"/>
      <c r="R181" s="56"/>
      <c r="T181" s="56"/>
    </row>
    <row r="182" spans="12:20" ht="15">
      <c r="L182" s="56"/>
      <c r="M182" s="56"/>
      <c r="N182" s="56"/>
      <c r="O182" s="56"/>
      <c r="P182" s="56"/>
      <c r="Q182" s="56"/>
      <c r="R182" s="56"/>
      <c r="T182" s="56"/>
    </row>
    <row r="183" spans="12:20" ht="15">
      <c r="L183" s="56"/>
      <c r="M183" s="56"/>
      <c r="N183" s="56"/>
      <c r="O183" s="56"/>
      <c r="P183" s="56"/>
      <c r="Q183" s="56"/>
      <c r="R183" s="56"/>
      <c r="T183" s="56"/>
    </row>
    <row r="184" spans="12:20" ht="15">
      <c r="L184" s="56"/>
      <c r="M184" s="56"/>
      <c r="N184" s="56"/>
      <c r="O184" s="56"/>
      <c r="P184" s="56"/>
      <c r="Q184" s="56"/>
      <c r="R184" s="56"/>
      <c r="T184" s="56"/>
    </row>
    <row r="185" spans="12:20" ht="15">
      <c r="L185" s="56"/>
      <c r="M185" s="56"/>
      <c r="N185" s="56"/>
      <c r="O185" s="56"/>
      <c r="P185" s="56"/>
      <c r="Q185" s="56"/>
      <c r="R185" s="56"/>
      <c r="T185" s="56"/>
    </row>
    <row r="186" spans="12:20" ht="15">
      <c r="L186" s="56"/>
      <c r="M186" s="56"/>
      <c r="N186" s="56"/>
      <c r="O186" s="56"/>
      <c r="P186" s="56"/>
      <c r="Q186" s="56"/>
      <c r="R186" s="56"/>
      <c r="T186" s="56"/>
    </row>
  </sheetData>
  <sheetProtection password="8DA5" sheet="1"/>
  <mergeCells count="24">
    <mergeCell ref="AE9:AP9"/>
    <mergeCell ref="AE8:AP8"/>
    <mergeCell ref="D9:AB9"/>
    <mergeCell ref="D8:AB8"/>
    <mergeCell ref="D37:AB37"/>
    <mergeCell ref="D36:AB36"/>
    <mergeCell ref="C10:C19"/>
    <mergeCell ref="C23:C32"/>
    <mergeCell ref="C38:C47"/>
    <mergeCell ref="C51:C60"/>
    <mergeCell ref="AE65:AP65"/>
    <mergeCell ref="AE64:AP64"/>
    <mergeCell ref="D65:AB65"/>
    <mergeCell ref="E64:AB64"/>
    <mergeCell ref="C66:C75"/>
    <mergeCell ref="C79:C88"/>
    <mergeCell ref="AI5:AP5"/>
    <mergeCell ref="E5:F5"/>
    <mergeCell ref="I5:J5"/>
    <mergeCell ref="L5:S5"/>
    <mergeCell ref="U5:AB5"/>
    <mergeCell ref="AF5:AG5"/>
    <mergeCell ref="AE37:AP37"/>
    <mergeCell ref="AE36:AP3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54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9.140625" style="53" customWidth="1"/>
    <col min="2" max="4" width="7.57421875" style="53" bestFit="1" customWidth="1"/>
    <col min="5" max="5" width="8.28125" style="53" bestFit="1" customWidth="1"/>
    <col min="6" max="7" width="7.8515625" style="53" bestFit="1" customWidth="1"/>
    <col min="8" max="10" width="8.57421875" style="53" bestFit="1" customWidth="1"/>
    <col min="11" max="13" width="7.57421875" style="53" bestFit="1" customWidth="1"/>
    <col min="14" max="14" width="13.28125" style="57" customWidth="1"/>
    <col min="15" max="15" width="10.00390625" style="53" customWidth="1"/>
    <col min="16" max="16" width="8.57421875" style="53" bestFit="1" customWidth="1"/>
    <col min="17" max="17" width="8.57421875" style="57" customWidth="1"/>
    <col min="18" max="18" width="9.28125" style="53" customWidth="1"/>
    <col min="19" max="19" width="8.28125" style="53" customWidth="1"/>
    <col min="20" max="20" width="9.421875" style="53" customWidth="1"/>
    <col min="21" max="23" width="8.57421875" style="53" bestFit="1" customWidth="1"/>
    <col min="24" max="26" width="7.57421875" style="53" bestFit="1" customWidth="1"/>
    <col min="27" max="16384" width="9.140625" style="53" customWidth="1"/>
  </cols>
  <sheetData>
    <row r="3" spans="2:17" s="53" customFormat="1" ht="15">
      <c r="B3" s="54" t="s">
        <v>96</v>
      </c>
      <c r="G3" s="55"/>
      <c r="H3" s="55"/>
      <c r="I3" s="56"/>
      <c r="K3" s="56"/>
      <c r="L3" s="56"/>
      <c r="M3" s="56"/>
      <c r="N3" s="56"/>
      <c r="O3" s="54" t="s">
        <v>135</v>
      </c>
      <c r="Q3" s="57"/>
    </row>
    <row r="4" spans="2:17" s="53" customFormat="1" ht="15">
      <c r="B4" s="54" t="s">
        <v>136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6"/>
      <c r="N4" s="56"/>
      <c r="O4" s="56"/>
      <c r="Q4" s="57"/>
    </row>
    <row r="5" spans="2:17" s="53" customFormat="1" ht="15">
      <c r="B5" s="59" t="s">
        <v>106</v>
      </c>
      <c r="C5" s="60"/>
      <c r="D5" s="60"/>
      <c r="E5" s="60"/>
      <c r="F5" s="60"/>
      <c r="G5" s="60"/>
      <c r="H5" s="60"/>
      <c r="I5" s="60"/>
      <c r="J5" s="60"/>
      <c r="K5" s="60"/>
      <c r="L5" s="60"/>
      <c r="O5" s="56"/>
      <c r="Q5" s="57"/>
    </row>
    <row r="6" spans="1:19" s="53" customFormat="1" ht="15">
      <c r="A6" s="53" t="s">
        <v>138</v>
      </c>
      <c r="B6" s="59" t="s">
        <v>107</v>
      </c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61">
        <v>7</v>
      </c>
      <c r="J6" s="61">
        <v>8</v>
      </c>
      <c r="K6" s="61">
        <v>9</v>
      </c>
      <c r="L6" s="61">
        <v>10</v>
      </c>
      <c r="N6" s="62" t="s">
        <v>131</v>
      </c>
      <c r="O6" s="62" t="s">
        <v>132</v>
      </c>
      <c r="P6" s="62" t="s">
        <v>137</v>
      </c>
      <c r="Q6" s="63"/>
      <c r="R6" s="53" t="s">
        <v>12</v>
      </c>
      <c r="S6" s="53" t="s">
        <v>133</v>
      </c>
    </row>
    <row r="7" spans="2:19" s="53" customFormat="1" ht="15">
      <c r="B7" s="64">
        <v>0</v>
      </c>
      <c r="C7" s="38">
        <v>0.00013000000000000002</v>
      </c>
      <c r="D7" s="38">
        <v>0.00013000000000000002</v>
      </c>
      <c r="E7" s="38">
        <v>4E-05</v>
      </c>
      <c r="F7" s="38">
        <v>0</v>
      </c>
      <c r="G7" s="38">
        <v>0.00011999999999999999</v>
      </c>
      <c r="H7" s="38">
        <v>2.9999999999999997E-05</v>
      </c>
      <c r="I7" s="58">
        <v>7.000000000000001E-05</v>
      </c>
      <c r="J7" s="58">
        <v>4E-05</v>
      </c>
      <c r="K7" s="58">
        <v>2.9999999999999997E-05</v>
      </c>
      <c r="L7" s="58">
        <v>2E-05</v>
      </c>
      <c r="M7" s="58"/>
      <c r="N7" s="65">
        <f>B7</f>
        <v>0</v>
      </c>
      <c r="O7" s="66">
        <f>AVERAGE(C7:L7)</f>
        <v>6.1E-05</v>
      </c>
      <c r="P7" s="67">
        <f>2*(R7^2+S7^2+T7^2)^0.5</f>
        <v>0.00017612142169280186</v>
      </c>
      <c r="Q7" s="68"/>
      <c r="R7" s="69">
        <f aca="true" t="shared" si="0" ref="R7:R15">STDEV(C7:L7)/3.16</f>
        <v>1.5391448495334196E-05</v>
      </c>
      <c r="S7" s="69">
        <f>0.0001/2/1.73*3</f>
        <v>8.670520231213874E-05</v>
      </c>
    </row>
    <row r="8" spans="2:19" s="53" customFormat="1" ht="15">
      <c r="B8" s="70">
        <v>0.1</v>
      </c>
      <c r="C8" s="9">
        <v>0.1</v>
      </c>
      <c r="D8" s="9">
        <v>0.0999</v>
      </c>
      <c r="E8" s="9">
        <v>0.1</v>
      </c>
      <c r="F8" s="9">
        <v>0.1</v>
      </c>
      <c r="G8" s="9">
        <v>0.1</v>
      </c>
      <c r="H8" s="9">
        <v>0.1</v>
      </c>
      <c r="I8" s="60">
        <v>0.1</v>
      </c>
      <c r="J8" s="60">
        <v>0.1</v>
      </c>
      <c r="K8" s="60">
        <v>0.1</v>
      </c>
      <c r="L8" s="60">
        <v>0.1</v>
      </c>
      <c r="M8" s="60"/>
      <c r="N8" s="65">
        <f aca="true" t="shared" si="1" ref="N8:N26">B8</f>
        <v>0.1</v>
      </c>
      <c r="O8" s="66">
        <f aca="true" t="shared" si="2" ref="O8:O26">AVERAGE(C8:L8)</f>
        <v>0.09999</v>
      </c>
      <c r="P8" s="67">
        <f aca="true" t="shared" si="3" ref="P8:P15">2*(R8^2+S8^2+T8^2)^0.5</f>
        <v>0.00017456158014463483</v>
      </c>
      <c r="Q8" s="68"/>
      <c r="R8" s="69">
        <f t="shared" si="0"/>
        <v>1.0007207785343255E-05</v>
      </c>
      <c r="S8" s="69">
        <f>0.0001/2/1.73*3</f>
        <v>8.670520231213874E-05</v>
      </c>
    </row>
    <row r="9" spans="1:19" s="53" customFormat="1" ht="15">
      <c r="A9" s="53">
        <v>0.5</v>
      </c>
      <c r="B9" s="70">
        <v>0.5</v>
      </c>
      <c r="C9" s="9">
        <v>0.5001</v>
      </c>
      <c r="D9" s="9">
        <v>0.5001</v>
      </c>
      <c r="E9" s="9">
        <v>0.5001</v>
      </c>
      <c r="F9" s="9">
        <v>0.5002</v>
      </c>
      <c r="G9" s="9">
        <v>0.5001</v>
      </c>
      <c r="H9" s="9">
        <v>0.5001</v>
      </c>
      <c r="I9" s="60">
        <v>0.5001</v>
      </c>
      <c r="J9" s="60">
        <v>0.5001</v>
      </c>
      <c r="K9" s="60">
        <v>0.5001</v>
      </c>
      <c r="L9" s="60">
        <v>0.5002</v>
      </c>
      <c r="M9" s="60"/>
      <c r="N9" s="65">
        <f t="shared" si="1"/>
        <v>0.5</v>
      </c>
      <c r="O9" s="66">
        <f t="shared" si="2"/>
        <v>0.5001199999999999</v>
      </c>
      <c r="P9" s="67">
        <f t="shared" si="3"/>
        <v>0.00017545171706128448</v>
      </c>
      <c r="Q9" s="68"/>
      <c r="R9" s="69">
        <f t="shared" si="0"/>
        <v>1.3342943713789159E-05</v>
      </c>
      <c r="S9" s="69">
        <f>0.0001/2/1.73*3</f>
        <v>8.670520231213874E-05</v>
      </c>
    </row>
    <row r="10" spans="1:19" s="53" customFormat="1" ht="15">
      <c r="A10" s="53">
        <v>5</v>
      </c>
      <c r="B10" s="71">
        <v>1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72">
        <v>1</v>
      </c>
      <c r="J10" s="72">
        <v>1</v>
      </c>
      <c r="K10" s="72">
        <v>1</v>
      </c>
      <c r="L10" s="72">
        <v>1</v>
      </c>
      <c r="M10" s="72"/>
      <c r="N10" s="73">
        <f t="shared" si="1"/>
        <v>1</v>
      </c>
      <c r="O10" s="74">
        <f t="shared" si="2"/>
        <v>1</v>
      </c>
      <c r="P10" s="75">
        <f t="shared" si="3"/>
        <v>0.0017341040462427746</v>
      </c>
      <c r="Q10" s="76"/>
      <c r="R10" s="69">
        <f t="shared" si="0"/>
        <v>0</v>
      </c>
      <c r="S10" s="69">
        <f>0.001/2/1.73*3</f>
        <v>0.0008670520231213873</v>
      </c>
    </row>
    <row r="11" spans="2:19" s="53" customFormat="1" ht="15">
      <c r="B11" s="71">
        <v>10</v>
      </c>
      <c r="C11" s="8">
        <v>10</v>
      </c>
      <c r="D11" s="8">
        <v>10</v>
      </c>
      <c r="E11" s="8">
        <v>10</v>
      </c>
      <c r="F11" s="8">
        <v>10</v>
      </c>
      <c r="G11" s="8">
        <v>10</v>
      </c>
      <c r="H11" s="8">
        <v>10</v>
      </c>
      <c r="I11" s="72">
        <v>10</v>
      </c>
      <c r="J11" s="72">
        <v>10</v>
      </c>
      <c r="K11" s="72">
        <v>10</v>
      </c>
      <c r="L11" s="72">
        <v>10</v>
      </c>
      <c r="M11" s="72"/>
      <c r="N11" s="77">
        <f t="shared" si="1"/>
        <v>10</v>
      </c>
      <c r="O11" s="78">
        <f t="shared" si="2"/>
        <v>10</v>
      </c>
      <c r="P11" s="79">
        <f t="shared" si="3"/>
        <v>0.017341040462427747</v>
      </c>
      <c r="Q11" s="76"/>
      <c r="R11" s="69">
        <f t="shared" si="0"/>
        <v>0</v>
      </c>
      <c r="S11" s="69">
        <f>0.01/2/1.73*3</f>
        <v>0.008670520231213874</v>
      </c>
    </row>
    <row r="12" spans="1:19" s="53" customFormat="1" ht="15">
      <c r="A12" s="53">
        <v>50</v>
      </c>
      <c r="B12" s="71">
        <v>50</v>
      </c>
      <c r="C12" s="8">
        <v>50</v>
      </c>
      <c r="D12" s="8">
        <v>50</v>
      </c>
      <c r="E12" s="8">
        <v>50</v>
      </c>
      <c r="F12" s="8">
        <v>50</v>
      </c>
      <c r="G12" s="8">
        <v>50</v>
      </c>
      <c r="H12" s="8">
        <v>50</v>
      </c>
      <c r="I12" s="72">
        <v>50</v>
      </c>
      <c r="J12" s="72">
        <v>50</v>
      </c>
      <c r="K12" s="72">
        <v>50</v>
      </c>
      <c r="L12" s="72">
        <v>50</v>
      </c>
      <c r="M12" s="72"/>
      <c r="N12" s="77">
        <f t="shared" si="1"/>
        <v>50</v>
      </c>
      <c r="O12" s="78">
        <f t="shared" si="2"/>
        <v>50</v>
      </c>
      <c r="P12" s="79">
        <f t="shared" si="3"/>
        <v>0.017341040462427747</v>
      </c>
      <c r="Q12" s="76"/>
      <c r="R12" s="69">
        <f t="shared" si="0"/>
        <v>0</v>
      </c>
      <c r="S12" s="69">
        <f>0.01/2/1.73*3</f>
        <v>0.008670520231213874</v>
      </c>
    </row>
    <row r="13" spans="2:19" s="53" customFormat="1" ht="15">
      <c r="B13" s="71">
        <v>100</v>
      </c>
      <c r="C13" s="8">
        <v>100</v>
      </c>
      <c r="D13" s="8">
        <v>100</v>
      </c>
      <c r="E13" s="8">
        <v>100</v>
      </c>
      <c r="F13" s="8">
        <v>100</v>
      </c>
      <c r="G13" s="8">
        <v>100</v>
      </c>
      <c r="H13" s="8">
        <v>100</v>
      </c>
      <c r="I13" s="72">
        <v>100</v>
      </c>
      <c r="J13" s="72">
        <v>100</v>
      </c>
      <c r="K13" s="72">
        <v>100.1</v>
      </c>
      <c r="L13" s="72">
        <v>100</v>
      </c>
      <c r="M13" s="72"/>
      <c r="N13" s="80">
        <f t="shared" si="1"/>
        <v>100</v>
      </c>
      <c r="O13" s="81">
        <f t="shared" si="2"/>
        <v>100.01</v>
      </c>
      <c r="P13" s="82">
        <f t="shared" si="3"/>
        <v>0.17456158014463466</v>
      </c>
      <c r="Q13" s="76"/>
      <c r="R13" s="69">
        <f t="shared" si="0"/>
        <v>0.010007207785342403</v>
      </c>
      <c r="S13" s="69">
        <f>0.1/2/1.73*3</f>
        <v>0.08670520231213874</v>
      </c>
    </row>
    <row r="14" spans="1:19" s="53" customFormat="1" ht="15">
      <c r="A14" s="53">
        <v>500</v>
      </c>
      <c r="B14" s="83">
        <v>500</v>
      </c>
      <c r="C14" s="84">
        <v>499.9</v>
      </c>
      <c r="D14" s="84">
        <v>500</v>
      </c>
      <c r="E14" s="84">
        <v>499.9</v>
      </c>
      <c r="F14" s="84">
        <v>500</v>
      </c>
      <c r="G14" s="84">
        <v>500</v>
      </c>
      <c r="H14" s="84">
        <v>499.9</v>
      </c>
      <c r="I14" s="61">
        <v>500</v>
      </c>
      <c r="J14" s="61">
        <v>500</v>
      </c>
      <c r="K14" s="61">
        <v>500</v>
      </c>
      <c r="L14" s="61">
        <v>499.9</v>
      </c>
      <c r="M14" s="72"/>
      <c r="N14" s="80">
        <f t="shared" si="1"/>
        <v>500</v>
      </c>
      <c r="O14" s="81">
        <f t="shared" si="2"/>
        <v>499.96000000000004</v>
      </c>
      <c r="P14" s="82">
        <f t="shared" si="3"/>
        <v>0.17646351836471025</v>
      </c>
      <c r="Q14" s="85"/>
      <c r="R14" s="69">
        <f t="shared" si="0"/>
        <v>0.01634170188273543</v>
      </c>
      <c r="S14" s="69">
        <f>0.1/2/1.73*3</f>
        <v>0.08670520231213874</v>
      </c>
    </row>
    <row r="15" spans="1:19" s="53" customFormat="1" ht="15">
      <c r="A15" s="53">
        <v>1100</v>
      </c>
      <c r="B15" s="83">
        <v>1000</v>
      </c>
      <c r="C15" s="84">
        <v>1000.9</v>
      </c>
      <c r="D15" s="84">
        <v>1000.8</v>
      </c>
      <c r="E15" s="84">
        <v>1000.7</v>
      </c>
      <c r="F15" s="84">
        <v>1001.1</v>
      </c>
      <c r="G15" s="84">
        <v>1001</v>
      </c>
      <c r="H15" s="84">
        <v>1001.1</v>
      </c>
      <c r="I15" s="61">
        <v>1001.1</v>
      </c>
      <c r="J15" s="61">
        <v>1000.7</v>
      </c>
      <c r="K15" s="61">
        <v>1000.8</v>
      </c>
      <c r="L15" s="61">
        <v>1000.9</v>
      </c>
      <c r="M15" s="61"/>
      <c r="N15" s="86">
        <f t="shared" si="1"/>
        <v>1000</v>
      </c>
      <c r="O15" s="87">
        <f t="shared" si="2"/>
        <v>1000.9100000000001</v>
      </c>
      <c r="P15" s="88">
        <f t="shared" si="3"/>
        <v>1.7370403847085467</v>
      </c>
      <c r="Q15" s="85"/>
      <c r="R15" s="69">
        <f t="shared" si="0"/>
        <v>0.05047884436289293</v>
      </c>
      <c r="S15" s="69">
        <f>1/2/1.73*3</f>
        <v>0.8670520231213874</v>
      </c>
    </row>
    <row r="16" spans="7:18" s="53" customFormat="1" ht="15">
      <c r="G16" s="89"/>
      <c r="H16" s="7"/>
      <c r="I16" s="90"/>
      <c r="J16" s="56"/>
      <c r="K16" s="56"/>
      <c r="L16" s="56"/>
      <c r="M16" s="56"/>
      <c r="N16" s="64"/>
      <c r="O16" s="38"/>
      <c r="Q16" s="57"/>
      <c r="R16" s="69"/>
    </row>
    <row r="17" spans="2:18" s="53" customFormat="1" ht="15">
      <c r="B17" s="57" t="s">
        <v>108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56"/>
      <c r="N17" s="64"/>
      <c r="O17" s="38"/>
      <c r="Q17" s="57"/>
      <c r="R17" s="69"/>
    </row>
    <row r="18" spans="2:20" s="53" customFormat="1" ht="15">
      <c r="B18" s="57" t="s">
        <v>109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56"/>
      <c r="N18" s="91" t="str">
        <f>N6</f>
        <v>E (V)</v>
      </c>
      <c r="O18" s="91" t="str">
        <f>O6</f>
        <v>199C (V)</v>
      </c>
      <c r="P18" s="91" t="str">
        <f>P6</f>
        <v>U (V)</v>
      </c>
      <c r="Q18" s="68"/>
      <c r="R18" s="64" t="str">
        <f>R6</f>
        <v>uA</v>
      </c>
      <c r="S18" s="64" t="str">
        <f>S6</f>
        <v>uB rozl</v>
      </c>
      <c r="T18" s="53" t="s">
        <v>134</v>
      </c>
    </row>
    <row r="19" spans="2:20" s="53" customFormat="1" ht="15">
      <c r="B19" s="70">
        <v>0.1</v>
      </c>
      <c r="C19" s="9">
        <v>0.0999</v>
      </c>
      <c r="D19" s="9">
        <v>0.0999</v>
      </c>
      <c r="E19" s="9">
        <v>0.0999</v>
      </c>
      <c r="F19" s="9">
        <v>0.0999</v>
      </c>
      <c r="G19" s="9">
        <v>0.0999</v>
      </c>
      <c r="H19" s="9">
        <v>0.0999</v>
      </c>
      <c r="I19" s="60">
        <v>0.0999</v>
      </c>
      <c r="J19" s="9">
        <v>0.0999</v>
      </c>
      <c r="K19" s="9">
        <v>0.0999</v>
      </c>
      <c r="L19" s="9">
        <v>0.1</v>
      </c>
      <c r="M19" s="9"/>
      <c r="N19" s="65">
        <f t="shared" si="1"/>
        <v>0.1</v>
      </c>
      <c r="O19" s="66">
        <f t="shared" si="2"/>
        <v>0.09991</v>
      </c>
      <c r="P19" s="67">
        <f aca="true" t="shared" si="4" ref="P19:P26">2*(R19^2+S19^2+T19^2)^0.5</f>
        <v>0.0001757015241441911</v>
      </c>
      <c r="Q19" s="68"/>
      <c r="R19" s="69">
        <f aca="true" t="shared" si="5" ref="R19:R26">STDEV(C19:L19)/3.16</f>
        <v>1.000720778534326E-05</v>
      </c>
      <c r="S19" s="69">
        <f>0.0001/2/1.73*3</f>
        <v>8.670520231213874E-05</v>
      </c>
      <c r="T19" s="69">
        <f>0.0001*O19</f>
        <v>9.991E-06</v>
      </c>
    </row>
    <row r="20" spans="1:20" s="53" customFormat="1" ht="15">
      <c r="A20" s="53">
        <v>0.5</v>
      </c>
      <c r="B20" s="70">
        <v>0.5</v>
      </c>
      <c r="C20" s="9">
        <v>0.4995</v>
      </c>
      <c r="D20" s="9">
        <v>0.4995</v>
      </c>
      <c r="E20" s="9">
        <v>0.4993</v>
      </c>
      <c r="F20" s="9">
        <v>0.4995</v>
      </c>
      <c r="G20" s="9">
        <v>0.4995</v>
      </c>
      <c r="H20" s="9">
        <v>0.49939999999999996</v>
      </c>
      <c r="I20" s="60">
        <v>0.4995</v>
      </c>
      <c r="J20" s="9">
        <v>0.49939999999999996</v>
      </c>
      <c r="K20" s="9">
        <v>0.49939999999999996</v>
      </c>
      <c r="L20" s="9">
        <v>0.4995</v>
      </c>
      <c r="M20" s="9"/>
      <c r="N20" s="65">
        <f t="shared" si="1"/>
        <v>0.5</v>
      </c>
      <c r="O20" s="66">
        <f t="shared" si="2"/>
        <v>0.49945000000000006</v>
      </c>
      <c r="P20" s="67">
        <f t="shared" si="4"/>
        <v>0.0002050660008025136</v>
      </c>
      <c r="Q20" s="68"/>
      <c r="R20" s="69">
        <f t="shared" si="5"/>
        <v>2.2376796872993685E-05</v>
      </c>
      <c r="S20" s="69">
        <f>0.0001/2/1.73*3</f>
        <v>8.670520231213874E-05</v>
      </c>
      <c r="T20" s="69">
        <f aca="true" t="shared" si="6" ref="T20:T26">0.0001*O20</f>
        <v>4.994500000000001E-05</v>
      </c>
    </row>
    <row r="21" spans="1:20" s="53" customFormat="1" ht="15">
      <c r="A21" s="53">
        <v>5</v>
      </c>
      <c r="B21" s="71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72">
        <v>1</v>
      </c>
      <c r="J21" s="8">
        <v>1</v>
      </c>
      <c r="K21" s="8">
        <v>1</v>
      </c>
      <c r="L21" s="8">
        <v>1</v>
      </c>
      <c r="M21" s="8"/>
      <c r="N21" s="73">
        <f t="shared" si="1"/>
        <v>1</v>
      </c>
      <c r="O21" s="74">
        <f t="shared" si="2"/>
        <v>1</v>
      </c>
      <c r="P21" s="75">
        <f t="shared" si="4"/>
        <v>0.0017455992791003217</v>
      </c>
      <c r="Q21" s="76"/>
      <c r="R21" s="69">
        <f t="shared" si="5"/>
        <v>0</v>
      </c>
      <c r="S21" s="69">
        <f>0.001/2/1.73*3</f>
        <v>0.0008670520231213873</v>
      </c>
      <c r="T21" s="69">
        <f t="shared" si="6"/>
        <v>0.0001</v>
      </c>
    </row>
    <row r="22" spans="2:20" s="53" customFormat="1" ht="15">
      <c r="B22" s="71">
        <v>5</v>
      </c>
      <c r="C22" s="8">
        <v>5</v>
      </c>
      <c r="D22" s="8">
        <v>5</v>
      </c>
      <c r="E22" s="8">
        <v>5</v>
      </c>
      <c r="F22" s="8">
        <v>5</v>
      </c>
      <c r="G22" s="8">
        <v>5</v>
      </c>
      <c r="H22" s="8">
        <v>5</v>
      </c>
      <c r="I22" s="72">
        <v>5</v>
      </c>
      <c r="J22" s="8">
        <v>5</v>
      </c>
      <c r="K22" s="8">
        <v>5</v>
      </c>
      <c r="L22" s="8">
        <v>5</v>
      </c>
      <c r="M22" s="8"/>
      <c r="N22" s="73">
        <f t="shared" si="1"/>
        <v>5</v>
      </c>
      <c r="O22" s="74">
        <f t="shared" si="2"/>
        <v>5</v>
      </c>
      <c r="P22" s="75">
        <f t="shared" si="4"/>
        <v>0.0020017784201043737</v>
      </c>
      <c r="Q22" s="76"/>
      <c r="R22" s="69">
        <f t="shared" si="5"/>
        <v>0</v>
      </c>
      <c r="S22" s="69">
        <f>0.001/2/1.73*3</f>
        <v>0.0008670520231213873</v>
      </c>
      <c r="T22" s="69">
        <f t="shared" si="6"/>
        <v>0.0005</v>
      </c>
    </row>
    <row r="23" spans="1:20" s="53" customFormat="1" ht="15">
      <c r="A23" s="53">
        <v>50</v>
      </c>
      <c r="B23" s="71">
        <v>50</v>
      </c>
      <c r="C23" s="8">
        <v>49.9</v>
      </c>
      <c r="D23" s="8">
        <v>49.9</v>
      </c>
      <c r="E23" s="8">
        <v>49.9</v>
      </c>
      <c r="F23" s="8">
        <v>49.9</v>
      </c>
      <c r="G23" s="8">
        <v>49.9</v>
      </c>
      <c r="H23" s="8">
        <v>49.9</v>
      </c>
      <c r="I23" s="72">
        <v>49.9</v>
      </c>
      <c r="J23" s="8">
        <v>49.9</v>
      </c>
      <c r="K23" s="8">
        <v>49.9</v>
      </c>
      <c r="L23" s="8">
        <v>49.9</v>
      </c>
      <c r="M23" s="8"/>
      <c r="N23" s="77">
        <f t="shared" si="1"/>
        <v>50</v>
      </c>
      <c r="O23" s="78">
        <f t="shared" si="2"/>
        <v>49.89999999999999</v>
      </c>
      <c r="P23" s="79">
        <f t="shared" si="4"/>
        <v>0.020007800586760063</v>
      </c>
      <c r="Q23" s="76"/>
      <c r="R23" s="69">
        <f t="shared" si="5"/>
        <v>2.3701829323724562E-15</v>
      </c>
      <c r="S23" s="69">
        <f>0.01/2/1.73*3</f>
        <v>0.008670520231213874</v>
      </c>
      <c r="T23" s="69">
        <f t="shared" si="6"/>
        <v>0.00499</v>
      </c>
    </row>
    <row r="24" spans="2:20" s="53" customFormat="1" ht="15">
      <c r="B24" s="71">
        <v>100</v>
      </c>
      <c r="C24" s="8">
        <v>99.9</v>
      </c>
      <c r="D24" s="8">
        <v>99.9</v>
      </c>
      <c r="E24" s="8">
        <v>99.9</v>
      </c>
      <c r="F24" s="8">
        <v>99.9</v>
      </c>
      <c r="G24" s="8">
        <v>99.9</v>
      </c>
      <c r="H24" s="8">
        <v>99.8</v>
      </c>
      <c r="I24" s="72">
        <v>99.8</v>
      </c>
      <c r="J24" s="72">
        <v>99.9</v>
      </c>
      <c r="K24" s="72">
        <v>99.9</v>
      </c>
      <c r="L24" s="72">
        <v>99.8</v>
      </c>
      <c r="M24" s="72"/>
      <c r="N24" s="80">
        <f t="shared" si="1"/>
        <v>100</v>
      </c>
      <c r="O24" s="81">
        <f t="shared" si="2"/>
        <v>99.86999999999998</v>
      </c>
      <c r="P24" s="82">
        <f t="shared" si="4"/>
        <v>0.17721401857482966</v>
      </c>
      <c r="Q24" s="76"/>
      <c r="R24" s="69">
        <f t="shared" si="5"/>
        <v>0.015286262390496491</v>
      </c>
      <c r="S24" s="69">
        <f>0.1/2/1.73*3</f>
        <v>0.08670520231213874</v>
      </c>
      <c r="T24" s="69">
        <f t="shared" si="6"/>
        <v>0.009986999999999998</v>
      </c>
    </row>
    <row r="25" spans="1:20" s="53" customFormat="1" ht="15">
      <c r="A25" s="53">
        <v>500</v>
      </c>
      <c r="B25" s="83">
        <v>500</v>
      </c>
      <c r="C25" s="84">
        <v>499.7</v>
      </c>
      <c r="D25" s="84">
        <v>499.7</v>
      </c>
      <c r="E25" s="84">
        <v>499.7</v>
      </c>
      <c r="F25" s="84">
        <v>499.6</v>
      </c>
      <c r="G25" s="84">
        <v>499.7</v>
      </c>
      <c r="H25" s="84">
        <v>499.7</v>
      </c>
      <c r="I25" s="61">
        <v>499.7</v>
      </c>
      <c r="J25" s="61">
        <v>499.6</v>
      </c>
      <c r="K25" s="61">
        <v>499.7</v>
      </c>
      <c r="L25" s="61">
        <v>499.7</v>
      </c>
      <c r="M25" s="72"/>
      <c r="N25" s="80">
        <f t="shared" si="1"/>
        <v>500</v>
      </c>
      <c r="O25" s="81">
        <f t="shared" si="2"/>
        <v>499.67999999999995</v>
      </c>
      <c r="P25" s="82">
        <f t="shared" si="4"/>
        <v>0.20191708475449197</v>
      </c>
      <c r="Q25" s="85"/>
      <c r="R25" s="69">
        <f t="shared" si="5"/>
        <v>0.01334294371378608</v>
      </c>
      <c r="S25" s="69">
        <f>0.1/2/1.73*3</f>
        <v>0.08670520231213874</v>
      </c>
      <c r="T25" s="69">
        <f t="shared" si="6"/>
        <v>0.049968</v>
      </c>
    </row>
    <row r="26" spans="1:20" s="53" customFormat="1" ht="15">
      <c r="A26" s="53">
        <v>1000</v>
      </c>
      <c r="B26" s="83">
        <v>1000</v>
      </c>
      <c r="C26" s="84">
        <v>1001</v>
      </c>
      <c r="D26" s="84">
        <v>1000.7</v>
      </c>
      <c r="E26" s="84">
        <v>1000.9</v>
      </c>
      <c r="F26" s="84">
        <v>1000.9</v>
      </c>
      <c r="G26" s="84">
        <v>1000.9</v>
      </c>
      <c r="H26" s="84">
        <v>1001.1</v>
      </c>
      <c r="I26" s="61">
        <v>1000.8</v>
      </c>
      <c r="J26" s="61">
        <v>1000.7</v>
      </c>
      <c r="K26" s="61">
        <v>1000.8</v>
      </c>
      <c r="L26" s="61">
        <v>1001</v>
      </c>
      <c r="M26" s="61"/>
      <c r="N26" s="86">
        <f t="shared" si="1"/>
        <v>1000</v>
      </c>
      <c r="O26" s="87">
        <f t="shared" si="2"/>
        <v>1000.8799999999999</v>
      </c>
      <c r="P26" s="88">
        <f t="shared" si="4"/>
        <v>1.747607108563761</v>
      </c>
      <c r="Q26" s="85"/>
      <c r="R26" s="69">
        <f t="shared" si="5"/>
        <v>0.041663328392681026</v>
      </c>
      <c r="S26" s="69">
        <f>1/2/1.73*3</f>
        <v>0.8670520231213874</v>
      </c>
      <c r="T26" s="69">
        <f t="shared" si="6"/>
        <v>0.100088</v>
      </c>
    </row>
    <row r="27" spans="7:17" s="53" customFormat="1" ht="15">
      <c r="G27" s="92"/>
      <c r="N27" s="57"/>
      <c r="P27" s="69"/>
      <c r="Q27" s="93"/>
    </row>
    <row r="28" spans="7:17" s="53" customFormat="1" ht="15">
      <c r="G28" s="92"/>
      <c r="N28" s="57"/>
      <c r="Q28" s="57"/>
    </row>
    <row r="29" spans="7:17" s="53" customFormat="1" ht="15">
      <c r="G29" s="92"/>
      <c r="N29" s="57"/>
      <c r="Q29" s="57"/>
    </row>
    <row r="30" spans="7:17" s="53" customFormat="1" ht="15">
      <c r="G30" s="92"/>
      <c r="N30" s="57"/>
      <c r="Q30" s="57"/>
    </row>
    <row r="31" spans="7:17" s="53" customFormat="1" ht="15">
      <c r="G31" s="92"/>
      <c r="N31" s="57"/>
      <c r="Q31" s="57"/>
    </row>
    <row r="32" spans="7:17" s="53" customFormat="1" ht="15">
      <c r="G32" s="92"/>
      <c r="N32" s="57"/>
      <c r="Q32" s="57"/>
    </row>
    <row r="33" spans="7:17" s="53" customFormat="1" ht="15">
      <c r="G33" s="92"/>
      <c r="N33" s="57"/>
      <c r="Q33" s="57"/>
    </row>
    <row r="34" spans="7:17" s="53" customFormat="1" ht="15">
      <c r="G34" s="92"/>
      <c r="N34" s="57"/>
      <c r="Q34" s="57"/>
    </row>
    <row r="35" spans="7:17" s="53" customFormat="1" ht="15">
      <c r="G35" s="92"/>
      <c r="H35" s="55"/>
      <c r="I35" s="56"/>
      <c r="J35" s="56"/>
      <c r="K35" s="56"/>
      <c r="L35" s="56"/>
      <c r="M35" s="56"/>
      <c r="N35" s="56"/>
      <c r="O35" s="56"/>
      <c r="Q35" s="57"/>
    </row>
    <row r="36" spans="7:17" s="53" customFormat="1" ht="15">
      <c r="G36" s="92"/>
      <c r="H36" s="55"/>
      <c r="I36" s="56"/>
      <c r="J36" s="56"/>
      <c r="K36" s="56"/>
      <c r="L36" s="56"/>
      <c r="M36" s="56"/>
      <c r="N36" s="56"/>
      <c r="O36" s="56"/>
      <c r="Q36" s="57"/>
    </row>
    <row r="37" spans="7:17" s="53" customFormat="1" ht="15">
      <c r="G37" s="55"/>
      <c r="H37" s="55"/>
      <c r="I37" s="56"/>
      <c r="J37" s="56"/>
      <c r="K37" s="56"/>
      <c r="L37" s="56"/>
      <c r="M37" s="56"/>
      <c r="N37" s="56"/>
      <c r="O37" s="56"/>
      <c r="Q37" s="57"/>
    </row>
    <row r="38" spans="7:17" s="53" customFormat="1" ht="15">
      <c r="G38" s="55"/>
      <c r="H38" s="55"/>
      <c r="I38" s="56"/>
      <c r="J38" s="56"/>
      <c r="K38" s="56"/>
      <c r="L38" s="56"/>
      <c r="M38" s="56"/>
      <c r="N38" s="56"/>
      <c r="O38" s="56"/>
      <c r="Q38" s="57"/>
    </row>
    <row r="39" spans="7:17" s="53" customFormat="1" ht="15">
      <c r="G39" s="94"/>
      <c r="H39" s="55"/>
      <c r="I39" s="56"/>
      <c r="J39" s="56"/>
      <c r="K39" s="56"/>
      <c r="L39" s="56"/>
      <c r="M39" s="56"/>
      <c r="N39" s="56"/>
      <c r="O39" s="56"/>
      <c r="Q39" s="57"/>
    </row>
    <row r="40" spans="7:17" s="53" customFormat="1" ht="15">
      <c r="G40" s="94"/>
      <c r="H40" s="95"/>
      <c r="I40" s="56"/>
      <c r="J40" s="56"/>
      <c r="K40" s="56"/>
      <c r="L40" s="56"/>
      <c r="M40" s="56"/>
      <c r="N40" s="56"/>
      <c r="O40" s="56"/>
      <c r="Q40" s="57"/>
    </row>
    <row r="41" spans="7:17" s="53" customFormat="1" ht="15">
      <c r="G41" s="94"/>
      <c r="H41" s="95"/>
      <c r="I41" s="56"/>
      <c r="J41" s="56"/>
      <c r="K41" s="56"/>
      <c r="L41" s="56"/>
      <c r="M41" s="56"/>
      <c r="N41" s="56"/>
      <c r="O41" s="56"/>
      <c r="Q41" s="57"/>
    </row>
    <row r="42" spans="7:17" s="53" customFormat="1" ht="15">
      <c r="G42" s="94"/>
      <c r="H42" s="94"/>
      <c r="I42" s="56"/>
      <c r="J42" s="56"/>
      <c r="K42" s="56"/>
      <c r="L42" s="56"/>
      <c r="M42" s="56"/>
      <c r="N42" s="56"/>
      <c r="O42" s="56"/>
      <c r="Q42" s="57"/>
    </row>
    <row r="43" spans="7:17" s="53" customFormat="1" ht="15">
      <c r="G43" s="94"/>
      <c r="H43" s="94"/>
      <c r="I43" s="56"/>
      <c r="J43" s="56"/>
      <c r="K43" s="56"/>
      <c r="L43" s="56"/>
      <c r="M43" s="56"/>
      <c r="N43" s="56"/>
      <c r="O43" s="56"/>
      <c r="Q43" s="57"/>
    </row>
    <row r="44" spans="7:17" s="53" customFormat="1" ht="15">
      <c r="G44" s="55"/>
      <c r="N44" s="56"/>
      <c r="O44" s="56"/>
      <c r="Q44" s="57"/>
    </row>
    <row r="45" spans="7:17" s="53" customFormat="1" ht="15">
      <c r="G45" s="55"/>
      <c r="N45" s="56"/>
      <c r="O45" s="56"/>
      <c r="Q45" s="57"/>
    </row>
    <row r="46" spans="7:17" s="53" customFormat="1" ht="15">
      <c r="G46" s="55"/>
      <c r="N46" s="56"/>
      <c r="O46" s="56"/>
      <c r="Q46" s="57"/>
    </row>
    <row r="47" spans="7:17" s="53" customFormat="1" ht="15">
      <c r="G47" s="55"/>
      <c r="N47" s="56"/>
      <c r="O47" s="56"/>
      <c r="Q47" s="57"/>
    </row>
    <row r="48" spans="7:17" s="53" customFormat="1" ht="15">
      <c r="G48" s="92"/>
      <c r="N48" s="56"/>
      <c r="O48" s="56"/>
      <c r="Q48" s="57"/>
    </row>
    <row r="49" spans="7:17" s="53" customFormat="1" ht="15">
      <c r="G49" s="92"/>
      <c r="N49" s="56"/>
      <c r="O49" s="56"/>
      <c r="Q49" s="57"/>
    </row>
    <row r="50" spans="7:17" s="53" customFormat="1" ht="15">
      <c r="G50" s="55"/>
      <c r="N50" s="56"/>
      <c r="O50" s="56"/>
      <c r="Q50" s="57"/>
    </row>
    <row r="51" spans="7:17" s="53" customFormat="1" ht="15">
      <c r="G51" s="55"/>
      <c r="N51" s="56"/>
      <c r="O51" s="56"/>
      <c r="Q51" s="57"/>
    </row>
    <row r="52" spans="7:17" s="53" customFormat="1" ht="15">
      <c r="G52" s="55"/>
      <c r="N52" s="56"/>
      <c r="O52" s="56"/>
      <c r="Q52" s="57"/>
    </row>
    <row r="53" spans="7:17" s="53" customFormat="1" ht="15">
      <c r="G53" s="55"/>
      <c r="N53" s="56"/>
      <c r="O53" s="56"/>
      <c r="Q53" s="57"/>
    </row>
    <row r="54" spans="7:17" s="53" customFormat="1" ht="15">
      <c r="G54" s="55"/>
      <c r="H54" s="59"/>
      <c r="I54" s="56"/>
      <c r="J54" s="56"/>
      <c r="K54" s="56"/>
      <c r="L54" s="56"/>
      <c r="M54" s="56"/>
      <c r="N54" s="56"/>
      <c r="O54" s="56"/>
      <c r="Q54" s="57"/>
    </row>
  </sheetData>
  <sheetProtection password="8DA5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9.140625" style="1" customWidth="1"/>
    <col min="2" max="2" width="9.57421875" style="1" bestFit="1" customWidth="1"/>
    <col min="3" max="3" width="14.421875" style="1" bestFit="1" customWidth="1"/>
    <col min="4" max="4" width="10.8515625" style="1" bestFit="1" customWidth="1"/>
    <col min="5" max="5" width="12.57421875" style="1" bestFit="1" customWidth="1"/>
    <col min="6" max="6" width="9.57421875" style="1" bestFit="1" customWidth="1"/>
    <col min="7" max="16384" width="9.140625" style="1" customWidth="1"/>
  </cols>
  <sheetData>
    <row r="1" spans="2:3" ht="15">
      <c r="B1" s="1" t="s">
        <v>112</v>
      </c>
      <c r="C1" s="1" t="s">
        <v>113</v>
      </c>
    </row>
    <row r="2" spans="1:3" ht="15">
      <c r="A2" s="2" t="s">
        <v>9</v>
      </c>
      <c r="B2" s="1">
        <v>22.2</v>
      </c>
      <c r="C2" s="1">
        <v>31</v>
      </c>
    </row>
    <row r="3" spans="1:3" ht="15">
      <c r="A3" s="2" t="s">
        <v>10</v>
      </c>
      <c r="B3" s="1">
        <v>22.5</v>
      </c>
      <c r="C3" s="1">
        <v>32</v>
      </c>
    </row>
    <row r="7" spans="1:27" ht="45">
      <c r="A7" s="3" t="s">
        <v>110</v>
      </c>
      <c r="B7" s="4">
        <v>1000</v>
      </c>
      <c r="C7" s="4">
        <v>500</v>
      </c>
      <c r="D7" s="4">
        <v>200</v>
      </c>
      <c r="E7" s="4">
        <v>100</v>
      </c>
      <c r="F7" s="4">
        <v>50</v>
      </c>
      <c r="G7" s="4">
        <v>20</v>
      </c>
      <c r="H7" s="4">
        <v>10</v>
      </c>
      <c r="I7" s="4">
        <v>5</v>
      </c>
      <c r="J7" s="4">
        <v>2</v>
      </c>
      <c r="K7" s="4">
        <v>1000</v>
      </c>
      <c r="L7" s="4">
        <v>500</v>
      </c>
      <c r="M7" s="4">
        <v>200</v>
      </c>
      <c r="N7" s="4">
        <v>100</v>
      </c>
      <c r="O7" s="4">
        <v>50</v>
      </c>
      <c r="P7" s="4">
        <v>20</v>
      </c>
      <c r="Q7" s="4">
        <v>10</v>
      </c>
      <c r="R7" s="4">
        <v>5</v>
      </c>
      <c r="S7" s="4">
        <v>2</v>
      </c>
      <c r="T7" s="4">
        <v>1000</v>
      </c>
      <c r="U7" s="4">
        <v>500</v>
      </c>
      <c r="V7" s="4">
        <v>200</v>
      </c>
      <c r="W7" s="4">
        <v>100</v>
      </c>
      <c r="X7" s="4">
        <v>50</v>
      </c>
      <c r="Y7" s="4">
        <v>20</v>
      </c>
      <c r="Z7" s="4">
        <v>10</v>
      </c>
      <c r="AA7" s="4">
        <v>5</v>
      </c>
    </row>
    <row r="8" spans="1:27" ht="60">
      <c r="A8" s="3" t="s">
        <v>111</v>
      </c>
      <c r="B8" s="4">
        <v>10</v>
      </c>
      <c r="C8" s="4">
        <v>10</v>
      </c>
      <c r="D8" s="4">
        <v>10</v>
      </c>
      <c r="E8" s="4">
        <v>10</v>
      </c>
      <c r="F8" s="4">
        <v>20</v>
      </c>
      <c r="G8" s="4">
        <v>50</v>
      </c>
      <c r="H8" s="4">
        <v>100</v>
      </c>
      <c r="I8" s="4">
        <v>200</v>
      </c>
      <c r="J8" s="4">
        <v>500</v>
      </c>
      <c r="K8" s="4">
        <v>1</v>
      </c>
      <c r="L8" s="4">
        <v>2</v>
      </c>
      <c r="M8" s="4">
        <v>5</v>
      </c>
      <c r="N8" s="4">
        <v>10</v>
      </c>
      <c r="O8" s="4">
        <v>20</v>
      </c>
      <c r="P8" s="4">
        <v>50</v>
      </c>
      <c r="Q8" s="4">
        <v>100</v>
      </c>
      <c r="R8" s="4">
        <v>200</v>
      </c>
      <c r="S8" s="4">
        <v>500</v>
      </c>
      <c r="T8" s="4">
        <v>1</v>
      </c>
      <c r="U8" s="4">
        <v>2</v>
      </c>
      <c r="V8" s="4">
        <v>5</v>
      </c>
      <c r="W8" s="4">
        <v>10</v>
      </c>
      <c r="X8" s="4">
        <v>20</v>
      </c>
      <c r="Y8" s="4">
        <v>50</v>
      </c>
      <c r="Z8" s="4">
        <v>100</v>
      </c>
      <c r="AA8" s="4">
        <v>200</v>
      </c>
    </row>
    <row r="9" spans="1:27" ht="15">
      <c r="A9" s="5">
        <v>1</v>
      </c>
      <c r="B9" s="6">
        <v>10</v>
      </c>
      <c r="C9" s="6">
        <v>9.999</v>
      </c>
      <c r="D9" s="6">
        <v>10</v>
      </c>
      <c r="E9" s="6">
        <v>10</v>
      </c>
      <c r="F9" s="7">
        <v>20</v>
      </c>
      <c r="G9" s="7">
        <v>50</v>
      </c>
      <c r="H9" s="7">
        <v>100</v>
      </c>
      <c r="I9" s="8">
        <v>200</v>
      </c>
      <c r="J9" s="8">
        <v>500</v>
      </c>
      <c r="K9" s="9">
        <v>0.9998</v>
      </c>
      <c r="L9" s="10">
        <v>2</v>
      </c>
      <c r="M9" s="10">
        <v>4.998</v>
      </c>
      <c r="N9" s="7">
        <v>10</v>
      </c>
      <c r="O9" s="7">
        <v>20</v>
      </c>
      <c r="P9" s="7">
        <v>49.99</v>
      </c>
      <c r="Q9" s="8">
        <v>100</v>
      </c>
      <c r="R9" s="8">
        <v>200</v>
      </c>
      <c r="S9" s="8">
        <v>499.9</v>
      </c>
      <c r="T9" s="10">
        <v>1</v>
      </c>
      <c r="U9" s="10">
        <v>2</v>
      </c>
      <c r="V9" s="10">
        <v>5</v>
      </c>
      <c r="W9" s="7">
        <v>10</v>
      </c>
      <c r="X9" s="7">
        <v>20</v>
      </c>
      <c r="Y9" s="7">
        <v>50</v>
      </c>
      <c r="Z9" s="8">
        <v>100</v>
      </c>
      <c r="AA9" s="8">
        <v>200</v>
      </c>
    </row>
    <row r="10" spans="1:27" ht="15">
      <c r="A10" s="5">
        <v>2</v>
      </c>
      <c r="B10" s="6">
        <v>10</v>
      </c>
      <c r="C10" s="6">
        <v>10</v>
      </c>
      <c r="D10" s="6">
        <v>10</v>
      </c>
      <c r="E10" s="6">
        <v>9.999</v>
      </c>
      <c r="F10" s="7">
        <v>20</v>
      </c>
      <c r="G10" s="7">
        <v>49.99</v>
      </c>
      <c r="H10" s="7">
        <v>99.99</v>
      </c>
      <c r="I10" s="8">
        <v>200</v>
      </c>
      <c r="J10" s="8">
        <v>499.9</v>
      </c>
      <c r="K10" s="9">
        <v>0.9999</v>
      </c>
      <c r="L10" s="10">
        <v>2</v>
      </c>
      <c r="M10" s="10">
        <v>4.999</v>
      </c>
      <c r="N10" s="7">
        <v>10</v>
      </c>
      <c r="O10" s="7">
        <v>20</v>
      </c>
      <c r="P10" s="7">
        <v>49.99</v>
      </c>
      <c r="Q10" s="8">
        <v>100</v>
      </c>
      <c r="R10" s="8">
        <v>200</v>
      </c>
      <c r="S10" s="8">
        <v>500</v>
      </c>
      <c r="T10" s="10">
        <v>1</v>
      </c>
      <c r="U10" s="10">
        <v>2</v>
      </c>
      <c r="V10" s="10">
        <v>4.999</v>
      </c>
      <c r="W10" s="7">
        <v>10</v>
      </c>
      <c r="X10" s="7">
        <v>20</v>
      </c>
      <c r="Y10" s="7">
        <v>49.99</v>
      </c>
      <c r="Z10" s="8">
        <v>100.1</v>
      </c>
      <c r="AA10" s="8">
        <v>200.1</v>
      </c>
    </row>
    <row r="11" spans="1:27" ht="15">
      <c r="A11" s="5">
        <v>3</v>
      </c>
      <c r="B11" s="6">
        <v>9.999</v>
      </c>
      <c r="C11" s="6">
        <v>10</v>
      </c>
      <c r="D11" s="6">
        <v>9.995</v>
      </c>
      <c r="E11" s="6">
        <v>10</v>
      </c>
      <c r="F11" s="7">
        <v>19.99</v>
      </c>
      <c r="G11" s="7">
        <v>49.98</v>
      </c>
      <c r="H11" s="7">
        <v>100</v>
      </c>
      <c r="I11" s="8">
        <v>200</v>
      </c>
      <c r="J11" s="8">
        <v>500</v>
      </c>
      <c r="K11" s="9">
        <v>1</v>
      </c>
      <c r="L11" s="10">
        <v>2</v>
      </c>
      <c r="M11" s="10">
        <v>4.998</v>
      </c>
      <c r="N11" s="7">
        <v>10</v>
      </c>
      <c r="O11" s="7">
        <v>20</v>
      </c>
      <c r="P11" s="7">
        <v>49.98</v>
      </c>
      <c r="Q11" s="8">
        <v>100</v>
      </c>
      <c r="R11" s="8">
        <v>200</v>
      </c>
      <c r="S11" s="8">
        <v>499.9</v>
      </c>
      <c r="T11" s="10">
        <v>0.998</v>
      </c>
      <c r="U11" s="10">
        <v>2</v>
      </c>
      <c r="V11" s="10">
        <v>5</v>
      </c>
      <c r="W11" s="7">
        <v>9.99</v>
      </c>
      <c r="X11" s="7">
        <v>19.99</v>
      </c>
      <c r="Y11" s="7">
        <v>49.97</v>
      </c>
      <c r="Z11" s="8">
        <v>99.9</v>
      </c>
      <c r="AA11" s="8">
        <v>199.9</v>
      </c>
    </row>
    <row r="12" spans="1:27" ht="15">
      <c r="A12" s="5">
        <v>4</v>
      </c>
      <c r="B12" s="6">
        <v>10</v>
      </c>
      <c r="C12" s="6">
        <v>10</v>
      </c>
      <c r="D12" s="6">
        <v>10</v>
      </c>
      <c r="E12" s="6">
        <v>10</v>
      </c>
      <c r="F12" s="7">
        <v>20</v>
      </c>
      <c r="G12" s="7">
        <v>49.98</v>
      </c>
      <c r="H12" s="7">
        <v>100</v>
      </c>
      <c r="I12" s="8">
        <v>200</v>
      </c>
      <c r="J12" s="8">
        <v>499.9</v>
      </c>
      <c r="K12" s="9">
        <v>0.9998</v>
      </c>
      <c r="L12" s="10">
        <v>2</v>
      </c>
      <c r="M12" s="10">
        <v>4.999</v>
      </c>
      <c r="N12" s="7">
        <v>10.01</v>
      </c>
      <c r="O12" s="7">
        <v>19.99</v>
      </c>
      <c r="P12" s="7">
        <v>49.99</v>
      </c>
      <c r="Q12" s="8">
        <v>99.9</v>
      </c>
      <c r="R12" s="8">
        <v>200</v>
      </c>
      <c r="S12" s="8">
        <v>500</v>
      </c>
      <c r="T12" s="10">
        <v>0.998</v>
      </c>
      <c r="U12" s="10">
        <v>2</v>
      </c>
      <c r="V12" s="10">
        <v>4.998</v>
      </c>
      <c r="W12" s="7">
        <v>10</v>
      </c>
      <c r="X12" s="7">
        <v>20.01</v>
      </c>
      <c r="Y12" s="7">
        <v>49.98</v>
      </c>
      <c r="Z12" s="8">
        <v>100</v>
      </c>
      <c r="AA12" s="8">
        <v>200.1</v>
      </c>
    </row>
    <row r="13" spans="1:27" ht="15">
      <c r="A13" s="5">
        <v>5</v>
      </c>
      <c r="B13" s="6">
        <v>10</v>
      </c>
      <c r="C13" s="6">
        <v>10</v>
      </c>
      <c r="D13" s="6">
        <v>10</v>
      </c>
      <c r="E13" s="6">
        <v>9.999</v>
      </c>
      <c r="F13" s="7">
        <v>20</v>
      </c>
      <c r="G13" s="7">
        <v>49.99</v>
      </c>
      <c r="H13" s="7">
        <v>100</v>
      </c>
      <c r="I13" s="8">
        <v>200</v>
      </c>
      <c r="J13" s="8">
        <v>499.8</v>
      </c>
      <c r="K13" s="9">
        <v>0.9999</v>
      </c>
      <c r="L13" s="10">
        <v>1.999</v>
      </c>
      <c r="M13" s="10">
        <v>4.998</v>
      </c>
      <c r="N13" s="7">
        <v>10</v>
      </c>
      <c r="O13" s="7">
        <v>20</v>
      </c>
      <c r="P13" s="7">
        <v>50</v>
      </c>
      <c r="Q13" s="8">
        <v>100</v>
      </c>
      <c r="R13" s="8">
        <v>199.9</v>
      </c>
      <c r="S13" s="8">
        <v>499.9</v>
      </c>
      <c r="T13" s="10">
        <v>1</v>
      </c>
      <c r="U13" s="10">
        <v>1.999</v>
      </c>
      <c r="V13" s="10">
        <v>5</v>
      </c>
      <c r="W13" s="7">
        <v>10</v>
      </c>
      <c r="X13" s="7">
        <v>20</v>
      </c>
      <c r="Y13" s="7">
        <v>49.99</v>
      </c>
      <c r="Z13" s="8">
        <v>100</v>
      </c>
      <c r="AA13" s="8">
        <v>200</v>
      </c>
    </row>
    <row r="14" spans="1:27" ht="15">
      <c r="A14" s="5">
        <v>6</v>
      </c>
      <c r="B14" s="6">
        <v>10</v>
      </c>
      <c r="C14" s="6">
        <v>10</v>
      </c>
      <c r="D14" s="6">
        <v>10</v>
      </c>
      <c r="E14" s="6">
        <v>10</v>
      </c>
      <c r="F14" s="7">
        <v>20</v>
      </c>
      <c r="G14" s="7">
        <v>49.98</v>
      </c>
      <c r="H14" s="7">
        <v>100</v>
      </c>
      <c r="I14" s="8">
        <v>199.9</v>
      </c>
      <c r="J14" s="8">
        <v>499.9</v>
      </c>
      <c r="K14" s="9">
        <v>1</v>
      </c>
      <c r="L14" s="10">
        <v>2</v>
      </c>
      <c r="M14" s="10">
        <v>4.999</v>
      </c>
      <c r="N14" s="7">
        <v>10</v>
      </c>
      <c r="O14" s="7">
        <v>20</v>
      </c>
      <c r="P14" s="7">
        <v>49.98</v>
      </c>
      <c r="Q14" s="8">
        <v>100</v>
      </c>
      <c r="R14" s="8">
        <v>200</v>
      </c>
      <c r="S14" s="8">
        <v>499.8</v>
      </c>
      <c r="T14" s="10">
        <v>0.999</v>
      </c>
      <c r="U14" s="10">
        <v>2</v>
      </c>
      <c r="V14" s="10">
        <v>4.999</v>
      </c>
      <c r="W14" s="7">
        <v>9.99</v>
      </c>
      <c r="X14" s="7">
        <v>20</v>
      </c>
      <c r="Y14" s="7">
        <v>49.97</v>
      </c>
      <c r="Z14" s="8">
        <v>100</v>
      </c>
      <c r="AA14" s="8">
        <v>200</v>
      </c>
    </row>
    <row r="15" spans="1:27" ht="15">
      <c r="A15" s="5">
        <v>7</v>
      </c>
      <c r="B15" s="6">
        <v>9.999</v>
      </c>
      <c r="C15" s="6">
        <v>9.999</v>
      </c>
      <c r="D15" s="6">
        <v>10.01</v>
      </c>
      <c r="E15" s="6">
        <v>10</v>
      </c>
      <c r="F15" s="7">
        <v>20</v>
      </c>
      <c r="G15" s="7">
        <v>49.98</v>
      </c>
      <c r="H15" s="7">
        <v>100</v>
      </c>
      <c r="I15" s="8">
        <v>200</v>
      </c>
      <c r="J15" s="8">
        <v>499.8</v>
      </c>
      <c r="K15" s="9">
        <v>0.9999</v>
      </c>
      <c r="L15" s="10">
        <v>2</v>
      </c>
      <c r="M15" s="10">
        <v>4.998</v>
      </c>
      <c r="N15" s="7">
        <v>10</v>
      </c>
      <c r="O15" s="7">
        <v>20</v>
      </c>
      <c r="P15" s="7">
        <v>49.99</v>
      </c>
      <c r="Q15" s="8">
        <v>100</v>
      </c>
      <c r="R15" s="8">
        <v>200</v>
      </c>
      <c r="S15" s="8">
        <v>500</v>
      </c>
      <c r="T15" s="10">
        <v>1</v>
      </c>
      <c r="U15" s="10">
        <v>2</v>
      </c>
      <c r="V15" s="10">
        <v>5</v>
      </c>
      <c r="W15" s="7">
        <v>10</v>
      </c>
      <c r="X15" s="7">
        <v>19.99</v>
      </c>
      <c r="Y15" s="7">
        <v>50</v>
      </c>
      <c r="Z15" s="8">
        <v>100.1</v>
      </c>
      <c r="AA15" s="8">
        <v>199.9</v>
      </c>
    </row>
    <row r="16" spans="1:27" ht="15">
      <c r="A16" s="5">
        <v>8</v>
      </c>
      <c r="B16" s="6">
        <v>10</v>
      </c>
      <c r="C16" s="6">
        <v>10</v>
      </c>
      <c r="D16" s="6">
        <v>9.998</v>
      </c>
      <c r="E16" s="6">
        <v>9.999</v>
      </c>
      <c r="F16" s="7">
        <v>20</v>
      </c>
      <c r="G16" s="7">
        <v>50</v>
      </c>
      <c r="H16" s="7">
        <v>100</v>
      </c>
      <c r="I16" s="8">
        <v>200</v>
      </c>
      <c r="J16" s="8">
        <v>499.9</v>
      </c>
      <c r="K16" s="9">
        <v>1</v>
      </c>
      <c r="L16" s="10">
        <v>2</v>
      </c>
      <c r="M16" s="10">
        <v>4.999</v>
      </c>
      <c r="N16" s="7">
        <v>9.99</v>
      </c>
      <c r="O16" s="7">
        <v>20</v>
      </c>
      <c r="P16" s="7">
        <v>50</v>
      </c>
      <c r="Q16" s="8">
        <v>100</v>
      </c>
      <c r="R16" s="8">
        <v>200</v>
      </c>
      <c r="S16" s="8">
        <v>499.9</v>
      </c>
      <c r="T16" s="10">
        <v>0.999</v>
      </c>
      <c r="U16" s="10">
        <v>1.999</v>
      </c>
      <c r="V16" s="10">
        <v>4.998</v>
      </c>
      <c r="W16" s="7">
        <v>10</v>
      </c>
      <c r="X16" s="7">
        <v>20.01</v>
      </c>
      <c r="Y16" s="7">
        <v>49.99</v>
      </c>
      <c r="Z16" s="8">
        <v>99.9</v>
      </c>
      <c r="AA16" s="8">
        <v>199.9</v>
      </c>
    </row>
    <row r="17" spans="1:27" ht="15">
      <c r="A17" s="5">
        <v>9</v>
      </c>
      <c r="B17" s="6">
        <v>10</v>
      </c>
      <c r="C17" s="6">
        <v>10</v>
      </c>
      <c r="D17" s="6">
        <v>10</v>
      </c>
      <c r="E17" s="6">
        <v>10</v>
      </c>
      <c r="F17" s="7">
        <v>20</v>
      </c>
      <c r="G17" s="7">
        <v>49.99</v>
      </c>
      <c r="H17" s="7">
        <v>100</v>
      </c>
      <c r="I17" s="8">
        <v>200</v>
      </c>
      <c r="J17" s="8">
        <v>499.8</v>
      </c>
      <c r="K17" s="9">
        <v>0.9999</v>
      </c>
      <c r="L17" s="10">
        <v>2</v>
      </c>
      <c r="M17" s="10">
        <v>4.999</v>
      </c>
      <c r="N17" s="7">
        <v>10</v>
      </c>
      <c r="O17" s="7">
        <v>20</v>
      </c>
      <c r="P17" s="7">
        <v>49.99</v>
      </c>
      <c r="Q17" s="8">
        <v>100</v>
      </c>
      <c r="R17" s="8">
        <v>199.9</v>
      </c>
      <c r="S17" s="8">
        <v>499.8</v>
      </c>
      <c r="T17" s="10">
        <v>1</v>
      </c>
      <c r="U17" s="10">
        <v>2</v>
      </c>
      <c r="V17" s="10">
        <v>5</v>
      </c>
      <c r="W17" s="7">
        <v>9.99</v>
      </c>
      <c r="X17" s="7">
        <v>19.99</v>
      </c>
      <c r="Y17" s="7">
        <v>49.99</v>
      </c>
      <c r="Z17" s="8">
        <v>99.9</v>
      </c>
      <c r="AA17" s="8">
        <v>200</v>
      </c>
    </row>
    <row r="18" spans="1:27" ht="15">
      <c r="A18" s="5">
        <v>10</v>
      </c>
      <c r="B18" s="6">
        <v>10</v>
      </c>
      <c r="C18" s="6">
        <v>10</v>
      </c>
      <c r="D18" s="6">
        <v>10</v>
      </c>
      <c r="E18" s="6">
        <v>10</v>
      </c>
      <c r="F18" s="7">
        <v>20</v>
      </c>
      <c r="G18" s="7">
        <v>49.99</v>
      </c>
      <c r="H18" s="7">
        <v>100</v>
      </c>
      <c r="I18" s="8">
        <v>200</v>
      </c>
      <c r="J18" s="8">
        <v>500</v>
      </c>
      <c r="K18" s="9">
        <v>1</v>
      </c>
      <c r="L18" s="10">
        <v>2</v>
      </c>
      <c r="M18" s="10">
        <v>4.998</v>
      </c>
      <c r="N18" s="10">
        <v>10</v>
      </c>
      <c r="O18" s="7">
        <v>20</v>
      </c>
      <c r="P18" s="7">
        <v>49.99</v>
      </c>
      <c r="Q18" s="8">
        <v>100</v>
      </c>
      <c r="R18" s="8">
        <v>200</v>
      </c>
      <c r="S18" s="8">
        <v>500</v>
      </c>
      <c r="T18" s="10">
        <v>0.999</v>
      </c>
      <c r="U18" s="10">
        <v>2</v>
      </c>
      <c r="V18" s="10">
        <v>4.999</v>
      </c>
      <c r="W18" s="7">
        <v>10</v>
      </c>
      <c r="X18" s="7">
        <v>20.01</v>
      </c>
      <c r="Y18" s="7">
        <v>49.98</v>
      </c>
      <c r="Z18" s="8">
        <v>100</v>
      </c>
      <c r="AA18" s="8">
        <v>200.1</v>
      </c>
    </row>
    <row r="19" spans="1:27" ht="15">
      <c r="A19" s="5" t="s">
        <v>12</v>
      </c>
      <c r="B19" s="11">
        <f aca="true" t="shared" si="0" ref="B19:AA19">STDEV(B9:B18)/((10)^0.5)</f>
        <v>0.00013333333333325942</v>
      </c>
      <c r="C19" s="11">
        <f t="shared" si="0"/>
        <v>0.00013333333333325942</v>
      </c>
      <c r="D19" s="11">
        <f t="shared" si="0"/>
        <v>0.001193035344544919</v>
      </c>
      <c r="E19" s="11">
        <f t="shared" si="0"/>
        <v>0.00015275252316511</v>
      </c>
      <c r="F19" s="11">
        <f t="shared" si="0"/>
        <v>0.001000000000000156</v>
      </c>
      <c r="G19" s="11">
        <f t="shared" si="0"/>
        <v>0.002494438257849811</v>
      </c>
      <c r="H19" s="11">
        <f t="shared" si="0"/>
        <v>0.0010000000000005115</v>
      </c>
      <c r="I19" s="11">
        <f t="shared" si="0"/>
        <v>0.009999999999999428</v>
      </c>
      <c r="J19" s="11">
        <f t="shared" si="0"/>
        <v>0.02581988897471464</v>
      </c>
      <c r="K19" s="11">
        <f t="shared" si="0"/>
        <v>2.4944382578490193E-05</v>
      </c>
      <c r="L19" s="11">
        <f t="shared" si="0"/>
        <v>9.999999999998899E-05</v>
      </c>
      <c r="M19" s="11">
        <f t="shared" si="0"/>
        <v>0.00016666666666657426</v>
      </c>
      <c r="N19" s="11">
        <f t="shared" si="0"/>
        <v>0.0014907119849998278</v>
      </c>
      <c r="O19" s="11">
        <f t="shared" si="0"/>
        <v>0.001000000000000156</v>
      </c>
      <c r="P19" s="11">
        <f t="shared" si="0"/>
        <v>0.002108185106779249</v>
      </c>
      <c r="Q19" s="11">
        <f t="shared" si="0"/>
        <v>0.009999999999999428</v>
      </c>
      <c r="R19" s="11">
        <f t="shared" si="0"/>
        <v>0.013333333333332574</v>
      </c>
      <c r="S19" s="11">
        <f t="shared" si="0"/>
        <v>0.024944382578492536</v>
      </c>
      <c r="T19" s="11">
        <f t="shared" si="0"/>
        <v>0.00026034165586355534</v>
      </c>
      <c r="U19" s="11">
        <f t="shared" si="0"/>
        <v>0.00013333333333331862</v>
      </c>
      <c r="V19" s="11">
        <f t="shared" si="0"/>
        <v>0.0002603416558635435</v>
      </c>
      <c r="W19" s="11">
        <f t="shared" si="0"/>
        <v>0.0015275252316519139</v>
      </c>
      <c r="X19" s="11">
        <f t="shared" si="0"/>
        <v>0.0025819888974720146</v>
      </c>
      <c r="Y19" s="11">
        <f t="shared" si="0"/>
        <v>0.0033993463423955352</v>
      </c>
      <c r="Z19" s="11">
        <f t="shared" si="0"/>
        <v>0.023333333333332006</v>
      </c>
      <c r="AA19" s="11">
        <f t="shared" si="0"/>
        <v>0.02581988897471464</v>
      </c>
    </row>
    <row r="20" spans="1:27" ht="15">
      <c r="A20" s="5"/>
      <c r="B20" s="5" t="s">
        <v>6</v>
      </c>
      <c r="C20" s="5"/>
      <c r="D20" s="5"/>
      <c r="E20" s="5"/>
      <c r="F20" s="5"/>
      <c r="G20" s="5"/>
      <c r="H20" s="5"/>
      <c r="I20" s="5"/>
      <c r="J20" s="5"/>
      <c r="K20" s="5" t="s">
        <v>7</v>
      </c>
      <c r="L20" s="5"/>
      <c r="M20" s="5"/>
      <c r="N20" s="5"/>
      <c r="O20" s="5"/>
      <c r="P20" s="5"/>
      <c r="Q20" s="5"/>
      <c r="R20" s="5"/>
      <c r="S20" s="5"/>
      <c r="T20" s="5" t="s">
        <v>8</v>
      </c>
      <c r="U20" s="5"/>
      <c r="V20" s="5"/>
      <c r="W20" s="5"/>
      <c r="X20" s="5"/>
      <c r="Y20" s="5"/>
      <c r="Z20" s="5"/>
      <c r="AA20" s="5"/>
    </row>
    <row r="21" spans="1:27" ht="15">
      <c r="A21" s="12" t="s">
        <v>25</v>
      </c>
      <c r="B21" s="13">
        <f>AVERAGE(B9:B18)-C$32+B$32</f>
        <v>10.0098</v>
      </c>
      <c r="C21" s="13">
        <f>AVERAGE(C9:C18)-C$32+B$32</f>
        <v>10.0098</v>
      </c>
      <c r="D21" s="13">
        <f>AVERAGE(D9:D18)-C$32+B$32</f>
        <v>10.010299999999999</v>
      </c>
      <c r="E21" s="13">
        <f>AVERAGE(E9:E18)-C$32+B$32</f>
        <v>10.0097</v>
      </c>
      <c r="F21" s="14">
        <f aca="true" t="shared" si="1" ref="F21:Q21">AVERAGE(F9:F18)/$F$38</f>
        <v>19.99937998821978</v>
      </c>
      <c r="G21" s="15">
        <f t="shared" si="1"/>
        <v>49.98894979004602</v>
      </c>
      <c r="H21" s="15">
        <f t="shared" si="1"/>
        <v>100.00090001710034</v>
      </c>
      <c r="I21" s="16">
        <f t="shared" si="1"/>
        <v>199.99379988219778</v>
      </c>
      <c r="J21" s="16">
        <f t="shared" si="1"/>
        <v>499.90949828046746</v>
      </c>
      <c r="K21" s="17">
        <f t="shared" si="1"/>
        <v>0.9999389988409781</v>
      </c>
      <c r="L21" s="17">
        <f t="shared" si="1"/>
        <v>1.999937998821978</v>
      </c>
      <c r="M21" s="14">
        <f t="shared" si="1"/>
        <v>4.998594973304494</v>
      </c>
      <c r="N21" s="14">
        <f t="shared" si="1"/>
        <v>10.000190003610069</v>
      </c>
      <c r="O21" s="14">
        <f t="shared" si="1"/>
        <v>19.99937998821978</v>
      </c>
      <c r="P21" s="15">
        <f t="shared" si="1"/>
        <v>49.99094982804674</v>
      </c>
      <c r="Q21" s="15">
        <f t="shared" si="1"/>
        <v>99.99189984609708</v>
      </c>
      <c r="R21" s="18">
        <f aca="true" t="shared" si="2" ref="R21:AA21">AVERAGE(R9:R18)/$F$40</f>
        <v>199.9799060094442</v>
      </c>
      <c r="S21" s="18">
        <f t="shared" si="2"/>
        <v>499.91976503771036</v>
      </c>
      <c r="T21" s="18">
        <f t="shared" si="2"/>
        <v>0.9992995303292208</v>
      </c>
      <c r="U21" s="18">
        <f t="shared" si="2"/>
        <v>1.9997990600944417</v>
      </c>
      <c r="V21" s="18">
        <f t="shared" si="2"/>
        <v>4.999297650330104</v>
      </c>
      <c r="W21" s="18">
        <f t="shared" si="2"/>
        <v>9.996995301412207</v>
      </c>
      <c r="X21" s="18">
        <f t="shared" si="2"/>
        <v>19.999990600004416</v>
      </c>
      <c r="Y21" s="18">
        <f t="shared" si="2"/>
        <v>49.985976506591044</v>
      </c>
      <c r="Z21" s="18">
        <f t="shared" si="2"/>
        <v>99.98995300472208</v>
      </c>
      <c r="AA21" s="18">
        <f t="shared" si="2"/>
        <v>199.99990600004418</v>
      </c>
    </row>
    <row r="22" spans="1:27" ht="15">
      <c r="A22" s="12" t="s">
        <v>18</v>
      </c>
      <c r="B22" s="19">
        <f>($D$32/2/$C$32)</f>
        <v>0.0005005005005005005</v>
      </c>
      <c r="C22" s="19">
        <f>($D$32/2/$C$32)</f>
        <v>0.0005005005005005005</v>
      </c>
      <c r="D22" s="19">
        <f>($D$32/2/$C$32)</f>
        <v>0.0005005005005005005</v>
      </c>
      <c r="E22" s="19">
        <f>($D$32/2/$C$32)</f>
        <v>0.0005005005005005005</v>
      </c>
      <c r="F22" s="19">
        <f aca="true" t="shared" si="3" ref="F22:Q22">($D$33/2/F8)</f>
        <v>0.00025</v>
      </c>
      <c r="G22" s="19">
        <f t="shared" si="3"/>
        <v>0.0001</v>
      </c>
      <c r="H22" s="19">
        <f t="shared" si="3"/>
        <v>5E-05</v>
      </c>
      <c r="I22" s="19">
        <f t="shared" si="3"/>
        <v>2.5E-05</v>
      </c>
      <c r="J22" s="19">
        <f t="shared" si="3"/>
        <v>1E-05</v>
      </c>
      <c r="K22" s="19">
        <f t="shared" si="3"/>
        <v>0.005</v>
      </c>
      <c r="L22" s="19">
        <f t="shared" si="3"/>
        <v>0.0025</v>
      </c>
      <c r="M22" s="19">
        <f t="shared" si="3"/>
        <v>0.001</v>
      </c>
      <c r="N22" s="19">
        <f t="shared" si="3"/>
        <v>0.0005</v>
      </c>
      <c r="O22" s="19">
        <f t="shared" si="3"/>
        <v>0.00025</v>
      </c>
      <c r="P22" s="19">
        <f t="shared" si="3"/>
        <v>0.0001</v>
      </c>
      <c r="Q22" s="19">
        <f t="shared" si="3"/>
        <v>5E-05</v>
      </c>
      <c r="R22" s="19">
        <f aca="true" t="shared" si="4" ref="R22:AA22">($D$40/2/R8)</f>
        <v>2.5E-09</v>
      </c>
      <c r="S22" s="19">
        <f t="shared" si="4"/>
        <v>9.999999999999999E-10</v>
      </c>
      <c r="T22" s="19">
        <f t="shared" si="4"/>
        <v>5E-07</v>
      </c>
      <c r="U22" s="19">
        <f t="shared" si="4"/>
        <v>2.5E-07</v>
      </c>
      <c r="V22" s="19">
        <f t="shared" si="4"/>
        <v>1E-07</v>
      </c>
      <c r="W22" s="19">
        <f t="shared" si="4"/>
        <v>5E-08</v>
      </c>
      <c r="X22" s="19">
        <f t="shared" si="4"/>
        <v>2.5E-08</v>
      </c>
      <c r="Y22" s="19">
        <f t="shared" si="4"/>
        <v>1E-08</v>
      </c>
      <c r="Z22" s="19">
        <f t="shared" si="4"/>
        <v>5E-09</v>
      </c>
      <c r="AA22" s="19">
        <f t="shared" si="4"/>
        <v>2.5E-09</v>
      </c>
    </row>
    <row r="23" spans="1:27" ht="15">
      <c r="A23" s="5" t="s">
        <v>17</v>
      </c>
      <c r="B23" s="20">
        <v>0.00029</v>
      </c>
      <c r="C23" s="20">
        <v>0.00029</v>
      </c>
      <c r="D23" s="20">
        <v>0.00029</v>
      </c>
      <c r="E23" s="20">
        <v>0.00029</v>
      </c>
      <c r="F23" s="20">
        <v>0.0029</v>
      </c>
      <c r="G23" s="20">
        <v>0.0029</v>
      </c>
      <c r="H23" s="20">
        <v>0.0029</v>
      </c>
      <c r="I23" s="20">
        <v>0.029</v>
      </c>
      <c r="J23" s="20">
        <v>0.029</v>
      </c>
      <c r="K23" s="20">
        <f aca="true" t="shared" si="5" ref="K23:AA23">B23</f>
        <v>0.00029</v>
      </c>
      <c r="L23" s="20">
        <f t="shared" si="5"/>
        <v>0.00029</v>
      </c>
      <c r="M23" s="20">
        <f t="shared" si="5"/>
        <v>0.00029</v>
      </c>
      <c r="N23" s="20">
        <f t="shared" si="5"/>
        <v>0.00029</v>
      </c>
      <c r="O23" s="20">
        <f t="shared" si="5"/>
        <v>0.0029</v>
      </c>
      <c r="P23" s="20">
        <f t="shared" si="5"/>
        <v>0.0029</v>
      </c>
      <c r="Q23" s="20">
        <f t="shared" si="5"/>
        <v>0.0029</v>
      </c>
      <c r="R23" s="20">
        <f t="shared" si="5"/>
        <v>0.029</v>
      </c>
      <c r="S23" s="20">
        <f t="shared" si="5"/>
        <v>0.029</v>
      </c>
      <c r="T23" s="20">
        <f t="shared" si="5"/>
        <v>0.00029</v>
      </c>
      <c r="U23" s="20">
        <f t="shared" si="5"/>
        <v>0.00029</v>
      </c>
      <c r="V23" s="20">
        <f t="shared" si="5"/>
        <v>0.00029</v>
      </c>
      <c r="W23" s="20">
        <f t="shared" si="5"/>
        <v>0.00029</v>
      </c>
      <c r="X23" s="20">
        <f t="shared" si="5"/>
        <v>0.0029</v>
      </c>
      <c r="Y23" s="20">
        <f t="shared" si="5"/>
        <v>0.0029</v>
      </c>
      <c r="Z23" s="20">
        <f t="shared" si="5"/>
        <v>0.0029</v>
      </c>
      <c r="AA23" s="20">
        <f t="shared" si="5"/>
        <v>0.029</v>
      </c>
    </row>
    <row r="24" spans="1:27" ht="15">
      <c r="A24" s="12" t="s">
        <v>13</v>
      </c>
      <c r="B24" s="11">
        <f aca="true" t="shared" si="6" ref="B24:AA24">((B22^2+(B23)^2+B19^2))^0.5</f>
        <v>0.0005936147983153803</v>
      </c>
      <c r="C24" s="11">
        <f t="shared" si="6"/>
        <v>0.0005936147983153803</v>
      </c>
      <c r="D24" s="11">
        <f t="shared" si="6"/>
        <v>0.0013258710662559406</v>
      </c>
      <c r="E24" s="11">
        <f t="shared" si="6"/>
        <v>0.0005982759265878571</v>
      </c>
      <c r="F24" s="11">
        <f t="shared" si="6"/>
        <v>0.0030777426793025292</v>
      </c>
      <c r="G24" s="11">
        <f t="shared" si="6"/>
        <v>0.003826515676464007</v>
      </c>
      <c r="H24" s="11">
        <f t="shared" si="6"/>
        <v>0.003067979791328656</v>
      </c>
      <c r="I24" s="11">
        <f t="shared" si="6"/>
        <v>0.03067573348756291</v>
      </c>
      <c r="J24" s="11">
        <f t="shared" si="6"/>
        <v>0.03882868484338081</v>
      </c>
      <c r="K24" s="11">
        <f t="shared" si="6"/>
        <v>0.005008465056504061</v>
      </c>
      <c r="L24" s="11">
        <f t="shared" si="6"/>
        <v>0.002518749689826283</v>
      </c>
      <c r="M24" s="11">
        <f t="shared" si="6"/>
        <v>0.0010544561526103146</v>
      </c>
      <c r="N24" s="11">
        <f t="shared" si="6"/>
        <v>0.0015988502813653713</v>
      </c>
      <c r="O24" s="11">
        <f t="shared" si="6"/>
        <v>0.0030777426793025292</v>
      </c>
      <c r="P24" s="11">
        <f t="shared" si="6"/>
        <v>0.0035867038411953995</v>
      </c>
      <c r="Q24" s="11">
        <f t="shared" si="6"/>
        <v>0.010412132346449911</v>
      </c>
      <c r="R24" s="11">
        <f t="shared" si="6"/>
        <v>0.0319182984787373</v>
      </c>
      <c r="S24" s="11">
        <f t="shared" si="6"/>
        <v>0.03825208781520563</v>
      </c>
      <c r="T24" s="11">
        <f t="shared" si="6"/>
        <v>0.0003897153163243368</v>
      </c>
      <c r="U24" s="11">
        <f t="shared" si="6"/>
        <v>0.0003191830826935755</v>
      </c>
      <c r="V24" s="11">
        <f t="shared" si="6"/>
        <v>0.00038971500840713296</v>
      </c>
      <c r="W24" s="11">
        <f t="shared" si="6"/>
        <v>0.00155480974264803</v>
      </c>
      <c r="X24" s="11">
        <f t="shared" si="6"/>
        <v>0.0038828683556481475</v>
      </c>
      <c r="Y24" s="11">
        <f t="shared" si="6"/>
        <v>0.0044682832895484486</v>
      </c>
      <c r="Z24" s="11">
        <f t="shared" si="6"/>
        <v>0.02351285700301874</v>
      </c>
      <c r="AA24" s="11">
        <f t="shared" si="6"/>
        <v>0.03882868355567308</v>
      </c>
    </row>
    <row r="30" spans="1:11" ht="15.75" thickBot="1">
      <c r="A30" s="21" t="s">
        <v>31</v>
      </c>
      <c r="B30" s="22"/>
      <c r="C30" s="22"/>
      <c r="D30" s="22"/>
      <c r="E30" s="22"/>
      <c r="K30" s="23" t="s">
        <v>15</v>
      </c>
    </row>
    <row r="31" spans="1:14" ht="45">
      <c r="A31" s="24"/>
      <c r="B31" s="24" t="s">
        <v>14</v>
      </c>
      <c r="C31" s="24" t="s">
        <v>11</v>
      </c>
      <c r="D31" s="25" t="s">
        <v>19</v>
      </c>
      <c r="E31" s="24" t="s">
        <v>4</v>
      </c>
      <c r="F31" s="24" t="s">
        <v>5</v>
      </c>
      <c r="K31" s="26" t="s">
        <v>115</v>
      </c>
      <c r="L31" s="27" t="s">
        <v>23</v>
      </c>
      <c r="M31" s="28" t="s">
        <v>24</v>
      </c>
      <c r="N31" s="29" t="s">
        <v>20</v>
      </c>
    </row>
    <row r="32" spans="1:14" ht="15">
      <c r="A32" s="24" t="s">
        <v>6</v>
      </c>
      <c r="B32" s="6">
        <v>10</v>
      </c>
      <c r="C32" s="10">
        <v>9.99</v>
      </c>
      <c r="D32" s="10">
        <v>0.01</v>
      </c>
      <c r="E32" s="30">
        <f>B32*$F$38</f>
        <v>9.999809999999998</v>
      </c>
      <c r="F32" s="5"/>
      <c r="K32" s="31">
        <f>B7</f>
        <v>1000</v>
      </c>
      <c r="L32" s="32">
        <f>B8</f>
        <v>10</v>
      </c>
      <c r="M32" s="32">
        <f>B21</f>
        <v>10.0098</v>
      </c>
      <c r="N32" s="33">
        <f>B24</f>
        <v>0.0005936147983153803</v>
      </c>
    </row>
    <row r="33" spans="1:14" ht="15">
      <c r="A33" s="24"/>
      <c r="B33" s="6">
        <v>400</v>
      </c>
      <c r="C33" s="10">
        <v>399.99</v>
      </c>
      <c r="D33" s="10">
        <f>D32</f>
        <v>0.01</v>
      </c>
      <c r="E33" s="34">
        <f>B33*$F$38</f>
        <v>399.9924</v>
      </c>
      <c r="F33" s="5"/>
      <c r="K33" s="31">
        <f>C7</f>
        <v>500</v>
      </c>
      <c r="L33" s="32">
        <f>C8</f>
        <v>10</v>
      </c>
      <c r="M33" s="32">
        <f>C21</f>
        <v>10.0098</v>
      </c>
      <c r="N33" s="33">
        <f>C24</f>
        <v>0.0005936147983153803</v>
      </c>
    </row>
    <row r="34" spans="1:14" ht="15">
      <c r="A34" s="24"/>
      <c r="B34" s="35"/>
      <c r="C34" s="36"/>
      <c r="D34" s="36"/>
      <c r="E34" s="34"/>
      <c r="F34" s="5"/>
      <c r="K34" s="31">
        <f>D7</f>
        <v>200</v>
      </c>
      <c r="L34" s="32">
        <f>D8</f>
        <v>10</v>
      </c>
      <c r="M34" s="32">
        <f>D21</f>
        <v>10.010299999999999</v>
      </c>
      <c r="N34" s="33">
        <f>D24</f>
        <v>0.0013258710662559406</v>
      </c>
    </row>
    <row r="35" spans="1:14" ht="15">
      <c r="A35" s="24" t="s">
        <v>7</v>
      </c>
      <c r="B35" s="37">
        <v>1</v>
      </c>
      <c r="C35" s="38">
        <v>0.99998</v>
      </c>
      <c r="D35" s="38">
        <f>D$38</f>
        <v>0.0001</v>
      </c>
      <c r="E35" s="39">
        <f>B35*$F$38</f>
        <v>0.9999809999999999</v>
      </c>
      <c r="F35" s="11"/>
      <c r="K35" s="31">
        <f>E7</f>
        <v>100</v>
      </c>
      <c r="L35" s="32">
        <f>E8</f>
        <v>10</v>
      </c>
      <c r="M35" s="32">
        <f>E21</f>
        <v>10.0097</v>
      </c>
      <c r="N35" s="33">
        <f>E24</f>
        <v>0.0005982759265878571</v>
      </c>
    </row>
    <row r="36" spans="1:14" ht="15">
      <c r="A36" s="24"/>
      <c r="B36" s="37">
        <v>3</v>
      </c>
      <c r="C36" s="38">
        <v>2.9999</v>
      </c>
      <c r="D36" s="38">
        <f>D$38</f>
        <v>0.0001</v>
      </c>
      <c r="E36" s="39">
        <f>B36*$F$38</f>
        <v>2.9999429999999996</v>
      </c>
      <c r="F36" s="11"/>
      <c r="K36" s="31">
        <f>F7</f>
        <v>50</v>
      </c>
      <c r="L36" s="32">
        <f>F8</f>
        <v>20</v>
      </c>
      <c r="M36" s="32">
        <f>F21</f>
        <v>19.99937998821978</v>
      </c>
      <c r="N36" s="33">
        <f>F24</f>
        <v>0.0030777426793025292</v>
      </c>
    </row>
    <row r="37" spans="1:14" ht="15">
      <c r="A37" s="24"/>
      <c r="B37" s="37">
        <v>15</v>
      </c>
      <c r="C37" s="38">
        <v>14.9997</v>
      </c>
      <c r="D37" s="38">
        <f>D$38</f>
        <v>0.0001</v>
      </c>
      <c r="E37" s="39">
        <f>B37*$F$38</f>
        <v>14.999714999999998</v>
      </c>
      <c r="F37" s="11"/>
      <c r="K37" s="31">
        <f>G7</f>
        <v>20</v>
      </c>
      <c r="L37" s="32">
        <f>G8</f>
        <v>50</v>
      </c>
      <c r="M37" s="32">
        <f>G21</f>
        <v>49.98894979004602</v>
      </c>
      <c r="N37" s="33">
        <f>G24</f>
        <v>0.003826515676464007</v>
      </c>
    </row>
    <row r="38" spans="1:14" ht="15">
      <c r="A38" s="24"/>
      <c r="B38" s="37">
        <v>100</v>
      </c>
      <c r="C38" s="38">
        <v>99.9981</v>
      </c>
      <c r="D38" s="38">
        <v>0.0001</v>
      </c>
      <c r="E38" s="39">
        <f>B38*$F$38</f>
        <v>99.9981</v>
      </c>
      <c r="F38" s="39">
        <f>C38/B38</f>
        <v>0.9999809999999999</v>
      </c>
      <c r="K38" s="31">
        <f>H7</f>
        <v>10</v>
      </c>
      <c r="L38" s="32">
        <f>H8</f>
        <v>100</v>
      </c>
      <c r="M38" s="32">
        <f>H21</f>
        <v>100.00090001710034</v>
      </c>
      <c r="N38" s="33">
        <f>H24</f>
        <v>0.003067979791328656</v>
      </c>
    </row>
    <row r="39" spans="1:14" ht="15">
      <c r="A39" s="24"/>
      <c r="B39" s="40"/>
      <c r="C39" s="11"/>
      <c r="D39" s="41"/>
      <c r="E39" s="42"/>
      <c r="F39" s="43"/>
      <c r="K39" s="31">
        <f>I7</f>
        <v>5</v>
      </c>
      <c r="L39" s="44">
        <f>I8</f>
        <v>200</v>
      </c>
      <c r="M39" s="44">
        <f>I21</f>
        <v>199.99379988219778</v>
      </c>
      <c r="N39" s="45">
        <f>I24</f>
        <v>0.03067573348756291</v>
      </c>
    </row>
    <row r="40" spans="1:14" ht="15.75" thickBot="1">
      <c r="A40" s="24" t="s">
        <v>8</v>
      </c>
      <c r="B40" s="46">
        <v>10</v>
      </c>
      <c r="C40" s="47">
        <v>10.0000047</v>
      </c>
      <c r="D40" s="47">
        <f aca="true" t="shared" si="7" ref="D40:D45">D$46</f>
        <v>1E-06</v>
      </c>
      <c r="E40" s="48">
        <f aca="true" t="shared" si="8" ref="E40:E46">$F$40*B40</f>
        <v>10.0000047</v>
      </c>
      <c r="F40" s="48">
        <f>C40/B40</f>
        <v>1.00000047</v>
      </c>
      <c r="K40" s="31">
        <f>J7</f>
        <v>2</v>
      </c>
      <c r="L40" s="44">
        <f>J8</f>
        <v>500</v>
      </c>
      <c r="M40" s="44">
        <f>J21</f>
        <v>499.90949828046746</v>
      </c>
      <c r="N40" s="45">
        <f>J24</f>
        <v>0.03882868484338081</v>
      </c>
    </row>
    <row r="41" spans="1:14" ht="15">
      <c r="A41" s="24"/>
      <c r="B41" s="46">
        <v>60</v>
      </c>
      <c r="C41" s="47"/>
      <c r="D41" s="47">
        <f t="shared" si="7"/>
        <v>1E-06</v>
      </c>
      <c r="E41" s="48">
        <f t="shared" si="8"/>
        <v>60.0000282</v>
      </c>
      <c r="F41" s="48"/>
      <c r="K41" s="49" t="s">
        <v>117</v>
      </c>
      <c r="L41" s="27" t="s">
        <v>28</v>
      </c>
      <c r="M41" s="28" t="s">
        <v>26</v>
      </c>
      <c r="N41" s="50" t="s">
        <v>21</v>
      </c>
    </row>
    <row r="42" spans="1:14" ht="15">
      <c r="A42" s="24"/>
      <c r="B42" s="46">
        <v>90</v>
      </c>
      <c r="C42" s="47"/>
      <c r="D42" s="47">
        <f t="shared" si="7"/>
        <v>1E-06</v>
      </c>
      <c r="E42" s="48">
        <f t="shared" si="8"/>
        <v>90.0000423</v>
      </c>
      <c r="F42" s="48"/>
      <c r="K42" s="31">
        <f>K7</f>
        <v>1000</v>
      </c>
      <c r="L42" s="51">
        <f>K8</f>
        <v>1</v>
      </c>
      <c r="M42" s="51">
        <f>K21</f>
        <v>0.9999389988409781</v>
      </c>
      <c r="N42" s="52">
        <f>K24</f>
        <v>0.005008465056504061</v>
      </c>
    </row>
    <row r="43" spans="1:14" ht="15">
      <c r="A43" s="24"/>
      <c r="B43" s="46">
        <v>150</v>
      </c>
      <c r="C43" s="47"/>
      <c r="D43" s="47">
        <f t="shared" si="7"/>
        <v>1E-06</v>
      </c>
      <c r="E43" s="48">
        <f t="shared" si="8"/>
        <v>150.0000705</v>
      </c>
      <c r="F43" s="48"/>
      <c r="K43" s="31">
        <f>L7</f>
        <v>500</v>
      </c>
      <c r="L43" s="51">
        <f>L8</f>
        <v>2</v>
      </c>
      <c r="M43" s="51">
        <f>L21</f>
        <v>1.999937998821978</v>
      </c>
      <c r="N43" s="52">
        <f>L24</f>
        <v>0.002518749689826283</v>
      </c>
    </row>
    <row r="44" spans="1:14" ht="15">
      <c r="A44" s="24"/>
      <c r="B44" s="46">
        <v>400</v>
      </c>
      <c r="C44" s="47"/>
      <c r="D44" s="47">
        <f t="shared" si="7"/>
        <v>1E-06</v>
      </c>
      <c r="E44" s="48">
        <f t="shared" si="8"/>
        <v>400.00018800000004</v>
      </c>
      <c r="F44" s="48"/>
      <c r="K44" s="31">
        <f>M7</f>
        <v>200</v>
      </c>
      <c r="L44" s="51">
        <f>M8</f>
        <v>5</v>
      </c>
      <c r="M44" s="51">
        <f>M21</f>
        <v>4.998594973304494</v>
      </c>
      <c r="N44" s="52">
        <f>M24</f>
        <v>0.0010544561526103146</v>
      </c>
    </row>
    <row r="45" spans="1:14" ht="15">
      <c r="A45" s="24"/>
      <c r="B45" s="46">
        <v>700</v>
      </c>
      <c r="C45" s="47"/>
      <c r="D45" s="47">
        <f t="shared" si="7"/>
        <v>1E-06</v>
      </c>
      <c r="E45" s="48">
        <f t="shared" si="8"/>
        <v>700.000329</v>
      </c>
      <c r="F45" s="48"/>
      <c r="K45" s="31">
        <f>N7</f>
        <v>100</v>
      </c>
      <c r="L45" s="32">
        <f>N8</f>
        <v>10</v>
      </c>
      <c r="M45" s="32">
        <f>N21</f>
        <v>10.000190003610069</v>
      </c>
      <c r="N45" s="33">
        <f>N24</f>
        <v>0.0015988502813653713</v>
      </c>
    </row>
    <row r="46" spans="1:14" ht="15">
      <c r="A46" s="24"/>
      <c r="B46" s="46">
        <v>1000</v>
      </c>
      <c r="C46" s="47"/>
      <c r="D46" s="47">
        <v>1E-06</v>
      </c>
      <c r="E46" s="48">
        <f t="shared" si="8"/>
        <v>1000.0004700000001</v>
      </c>
      <c r="F46" s="48"/>
      <c r="K46" s="31">
        <f>O7</f>
        <v>50</v>
      </c>
      <c r="L46" s="32">
        <f>O8</f>
        <v>20</v>
      </c>
      <c r="M46" s="32">
        <f>O21</f>
        <v>19.99937998821978</v>
      </c>
      <c r="N46" s="33">
        <f>O24</f>
        <v>0.0030777426793025292</v>
      </c>
    </row>
    <row r="47" spans="11:14" ht="15">
      <c r="K47" s="31">
        <f>P7</f>
        <v>20</v>
      </c>
      <c r="L47" s="32">
        <f>P8</f>
        <v>50</v>
      </c>
      <c r="M47" s="32">
        <f>P21</f>
        <v>49.99094982804674</v>
      </c>
      <c r="N47" s="33">
        <f>P24</f>
        <v>0.0035867038411953995</v>
      </c>
    </row>
    <row r="48" spans="11:14" ht="15">
      <c r="K48" s="31">
        <f>Q7</f>
        <v>10</v>
      </c>
      <c r="L48" s="44">
        <f>Q8</f>
        <v>100</v>
      </c>
      <c r="M48" s="44">
        <f>Q21</f>
        <v>99.99189984609708</v>
      </c>
      <c r="N48" s="45">
        <f>Q24</f>
        <v>0.010412132346449911</v>
      </c>
    </row>
    <row r="49" spans="11:14" ht="15">
      <c r="K49" s="31">
        <f>R7</f>
        <v>5</v>
      </c>
      <c r="L49" s="44">
        <f>R8</f>
        <v>200</v>
      </c>
      <c r="M49" s="44">
        <f>R21</f>
        <v>199.9799060094442</v>
      </c>
      <c r="N49" s="45">
        <f>R24</f>
        <v>0.0319182984787373</v>
      </c>
    </row>
    <row r="50" spans="11:14" ht="15.75" thickBot="1">
      <c r="K50" s="31">
        <f>S7</f>
        <v>2</v>
      </c>
      <c r="L50" s="44">
        <f>S8</f>
        <v>500</v>
      </c>
      <c r="M50" s="44">
        <f>S21</f>
        <v>499.91976503771036</v>
      </c>
      <c r="N50" s="45">
        <f>S24</f>
        <v>0.03825208781520563</v>
      </c>
    </row>
    <row r="51" spans="11:14" ht="30">
      <c r="K51" s="49" t="s">
        <v>116</v>
      </c>
      <c r="L51" s="27" t="s">
        <v>27</v>
      </c>
      <c r="M51" s="28" t="s">
        <v>29</v>
      </c>
      <c r="N51" s="50" t="s">
        <v>22</v>
      </c>
    </row>
    <row r="52" spans="11:14" ht="15">
      <c r="K52" s="31">
        <f>T7</f>
        <v>1000</v>
      </c>
      <c r="L52" s="51">
        <f>T8</f>
        <v>1</v>
      </c>
      <c r="M52" s="51">
        <f>T21</f>
        <v>0.9992995303292208</v>
      </c>
      <c r="N52" s="52">
        <f>T24</f>
        <v>0.0003897153163243368</v>
      </c>
    </row>
    <row r="53" spans="11:14" ht="15">
      <c r="K53" s="31">
        <f>U7</f>
        <v>500</v>
      </c>
      <c r="L53" s="51">
        <f>U8</f>
        <v>2</v>
      </c>
      <c r="M53" s="51">
        <f>U21</f>
        <v>1.9997990600944417</v>
      </c>
      <c r="N53" s="52">
        <f>U24</f>
        <v>0.0003191830826935755</v>
      </c>
    </row>
    <row r="54" spans="11:14" ht="15">
      <c r="K54" s="31">
        <f>V7</f>
        <v>200</v>
      </c>
      <c r="L54" s="51">
        <f>V8</f>
        <v>5</v>
      </c>
      <c r="M54" s="51">
        <f>V21</f>
        <v>4.999297650330104</v>
      </c>
      <c r="N54" s="52">
        <f>V24</f>
        <v>0.00038971500840713296</v>
      </c>
    </row>
    <row r="55" spans="11:14" ht="15">
      <c r="K55" s="31">
        <f>W7</f>
        <v>100</v>
      </c>
      <c r="L55" s="32">
        <f>W8</f>
        <v>10</v>
      </c>
      <c r="M55" s="32">
        <f>W21</f>
        <v>9.996995301412207</v>
      </c>
      <c r="N55" s="33">
        <f>W24</f>
        <v>0.00155480974264803</v>
      </c>
    </row>
    <row r="56" spans="11:14" ht="15">
      <c r="K56" s="31">
        <f>X7</f>
        <v>50</v>
      </c>
      <c r="L56" s="32">
        <f>X8</f>
        <v>20</v>
      </c>
      <c r="M56" s="32">
        <f>X21</f>
        <v>19.999990600004416</v>
      </c>
      <c r="N56" s="33">
        <f>X24</f>
        <v>0.0038828683556481475</v>
      </c>
    </row>
    <row r="57" spans="11:14" ht="15">
      <c r="K57" s="31">
        <f>Y7</f>
        <v>20</v>
      </c>
      <c r="L57" s="32">
        <f>Y8</f>
        <v>50</v>
      </c>
      <c r="M57" s="32">
        <f>Y21</f>
        <v>49.985976506591044</v>
      </c>
      <c r="N57" s="33">
        <f>Y24</f>
        <v>0.0044682832895484486</v>
      </c>
    </row>
    <row r="58" spans="11:14" ht="15">
      <c r="K58" s="31">
        <f>Z7</f>
        <v>10</v>
      </c>
      <c r="L58" s="44">
        <f>Z8</f>
        <v>100</v>
      </c>
      <c r="M58" s="44">
        <f>Z21</f>
        <v>99.98995300472208</v>
      </c>
      <c r="N58" s="45">
        <f>Z24</f>
        <v>0.02351285700301874</v>
      </c>
    </row>
    <row r="59" spans="11:14" ht="15">
      <c r="K59" s="31">
        <f>AA7</f>
        <v>5</v>
      </c>
      <c r="L59" s="44">
        <f>AA8</f>
        <v>200</v>
      </c>
      <c r="M59" s="44">
        <f>AA21</f>
        <v>199.99990600004418</v>
      </c>
      <c r="N59" s="45">
        <f>AA24</f>
        <v>0.03882868355567308</v>
      </c>
    </row>
  </sheetData>
  <sheetProtection password="8DA5" sheet="1"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1">
      <selection activeCell="E62" sqref="E62"/>
    </sheetView>
  </sheetViews>
  <sheetFormatPr defaultColWidth="9.140625" defaultRowHeight="15"/>
  <cols>
    <col min="1" max="1" width="12.140625" style="1" customWidth="1"/>
    <col min="2" max="2" width="10.8515625" style="1" bestFit="1" customWidth="1"/>
    <col min="3" max="3" width="12.421875" style="1" bestFit="1" customWidth="1"/>
    <col min="4" max="4" width="12.7109375" style="1" customWidth="1"/>
    <col min="5" max="5" width="13.00390625" style="1" customWidth="1"/>
    <col min="6" max="6" width="10.421875" style="1" bestFit="1" customWidth="1"/>
    <col min="7" max="7" width="11.421875" style="1" bestFit="1" customWidth="1"/>
    <col min="8" max="8" width="9.421875" style="1" bestFit="1" customWidth="1"/>
    <col min="9" max="10" width="10.421875" style="1" bestFit="1" customWidth="1"/>
    <col min="11" max="12" width="10.421875" style="1" customWidth="1"/>
    <col min="13" max="13" width="8.421875" style="1" customWidth="1"/>
    <col min="14" max="14" width="8.28125" style="1" customWidth="1"/>
    <col min="15" max="15" width="12.00390625" style="1" bestFit="1" customWidth="1"/>
    <col min="16" max="16384" width="9.140625" style="1" customWidth="1"/>
  </cols>
  <sheetData>
    <row r="1" spans="2:3" ht="15">
      <c r="B1" s="1" t="s">
        <v>112</v>
      </c>
      <c r="C1" s="1" t="s">
        <v>113</v>
      </c>
    </row>
    <row r="2" spans="1:3" ht="15">
      <c r="A2" s="2" t="s">
        <v>9</v>
      </c>
      <c r="B2" s="1">
        <v>22.2</v>
      </c>
      <c r="C2" s="1">
        <v>31</v>
      </c>
    </row>
    <row r="3" spans="1:3" ht="15">
      <c r="A3" s="2" t="s">
        <v>10</v>
      </c>
      <c r="B3" s="1">
        <v>22.5</v>
      </c>
      <c r="C3" s="1">
        <v>32</v>
      </c>
    </row>
    <row r="7" spans="1:27" ht="45">
      <c r="A7" s="3" t="s">
        <v>110</v>
      </c>
      <c r="B7" s="4">
        <v>1000</v>
      </c>
      <c r="C7" s="4">
        <v>500</v>
      </c>
      <c r="D7" s="4">
        <v>200</v>
      </c>
      <c r="E7" s="4">
        <v>100</v>
      </c>
      <c r="F7" s="4">
        <v>50</v>
      </c>
      <c r="G7" s="4">
        <v>20</v>
      </c>
      <c r="H7" s="4">
        <v>10</v>
      </c>
      <c r="I7" s="4">
        <v>5</v>
      </c>
      <c r="J7" s="4">
        <v>2</v>
      </c>
      <c r="K7" s="4">
        <v>1000</v>
      </c>
      <c r="L7" s="4">
        <v>500</v>
      </c>
      <c r="M7" s="4">
        <v>200</v>
      </c>
      <c r="N7" s="4">
        <v>100</v>
      </c>
      <c r="O7" s="4">
        <v>50</v>
      </c>
      <c r="P7" s="4">
        <v>20</v>
      </c>
      <c r="Q7" s="4">
        <v>10</v>
      </c>
      <c r="R7" s="4">
        <v>5</v>
      </c>
      <c r="S7" s="4">
        <v>2</v>
      </c>
      <c r="T7" s="4">
        <v>1000</v>
      </c>
      <c r="U7" s="4">
        <v>500</v>
      </c>
      <c r="V7" s="4">
        <v>200</v>
      </c>
      <c r="W7" s="4">
        <v>100</v>
      </c>
      <c r="X7" s="4">
        <v>50</v>
      </c>
      <c r="Y7" s="4">
        <v>20</v>
      </c>
      <c r="Z7" s="4">
        <v>10</v>
      </c>
      <c r="AA7" s="4">
        <v>5</v>
      </c>
    </row>
    <row r="8" spans="1:27" ht="30">
      <c r="A8" s="3" t="s">
        <v>111</v>
      </c>
      <c r="B8" s="4">
        <v>10</v>
      </c>
      <c r="C8" s="4">
        <v>10</v>
      </c>
      <c r="D8" s="4">
        <v>10</v>
      </c>
      <c r="E8" s="4">
        <v>10</v>
      </c>
      <c r="F8" s="4">
        <v>20</v>
      </c>
      <c r="G8" s="4">
        <v>50</v>
      </c>
      <c r="H8" s="4">
        <v>100</v>
      </c>
      <c r="I8" s="4">
        <v>200</v>
      </c>
      <c r="J8" s="4">
        <v>500</v>
      </c>
      <c r="K8" s="4">
        <v>1</v>
      </c>
      <c r="L8" s="4">
        <v>2</v>
      </c>
      <c r="M8" s="4">
        <v>5</v>
      </c>
      <c r="N8" s="4">
        <v>10</v>
      </c>
      <c r="O8" s="4">
        <v>20</v>
      </c>
      <c r="P8" s="4">
        <v>50</v>
      </c>
      <c r="Q8" s="4">
        <v>100</v>
      </c>
      <c r="R8" s="4">
        <v>200</v>
      </c>
      <c r="S8" s="4">
        <v>500</v>
      </c>
      <c r="T8" s="4">
        <v>1</v>
      </c>
      <c r="U8" s="4">
        <v>2</v>
      </c>
      <c r="V8" s="4">
        <v>5</v>
      </c>
      <c r="W8" s="4">
        <v>10</v>
      </c>
      <c r="X8" s="4">
        <v>20</v>
      </c>
      <c r="Y8" s="4">
        <v>50</v>
      </c>
      <c r="Z8" s="4">
        <v>100</v>
      </c>
      <c r="AA8" s="4">
        <v>200</v>
      </c>
    </row>
    <row r="9" spans="1:27" ht="15">
      <c r="A9" s="5">
        <v>1</v>
      </c>
      <c r="B9" s="6">
        <v>9.992</v>
      </c>
      <c r="C9" s="6">
        <v>10</v>
      </c>
      <c r="D9" s="6">
        <v>10</v>
      </c>
      <c r="E9" s="6">
        <v>9.998</v>
      </c>
      <c r="F9" s="7">
        <v>20</v>
      </c>
      <c r="G9" s="7">
        <v>49.99</v>
      </c>
      <c r="H9" s="7">
        <v>100</v>
      </c>
      <c r="I9" s="8">
        <v>200</v>
      </c>
      <c r="J9" s="8">
        <v>499.9</v>
      </c>
      <c r="K9" s="9">
        <v>1</v>
      </c>
      <c r="L9" s="10">
        <v>2</v>
      </c>
      <c r="M9" s="10">
        <v>4.999</v>
      </c>
      <c r="N9" s="7">
        <v>10</v>
      </c>
      <c r="O9" s="7">
        <v>20</v>
      </c>
      <c r="P9" s="7">
        <v>49.99</v>
      </c>
      <c r="Q9" s="8">
        <v>100</v>
      </c>
      <c r="R9" s="8">
        <v>200</v>
      </c>
      <c r="S9" s="8">
        <v>500</v>
      </c>
      <c r="T9" s="10">
        <v>1</v>
      </c>
      <c r="U9" s="10">
        <v>2</v>
      </c>
      <c r="V9" s="10">
        <v>4.997</v>
      </c>
      <c r="W9" s="7">
        <v>10</v>
      </c>
      <c r="X9" s="7">
        <v>19.99</v>
      </c>
      <c r="Y9" s="7">
        <v>50</v>
      </c>
      <c r="Z9" s="8">
        <v>100</v>
      </c>
      <c r="AA9" s="8">
        <v>200</v>
      </c>
    </row>
    <row r="10" spans="1:27" ht="15">
      <c r="A10" s="5">
        <v>2</v>
      </c>
      <c r="B10" s="6">
        <v>10</v>
      </c>
      <c r="C10" s="6">
        <v>10</v>
      </c>
      <c r="D10" s="6">
        <v>10</v>
      </c>
      <c r="E10" s="6">
        <v>10</v>
      </c>
      <c r="F10" s="7">
        <v>20</v>
      </c>
      <c r="G10" s="7">
        <v>50</v>
      </c>
      <c r="H10" s="7">
        <v>100</v>
      </c>
      <c r="I10" s="8">
        <v>200</v>
      </c>
      <c r="J10" s="8">
        <v>499.9</v>
      </c>
      <c r="K10" s="9">
        <v>0.9998</v>
      </c>
      <c r="L10" s="10">
        <v>2</v>
      </c>
      <c r="M10" s="10">
        <v>4.998</v>
      </c>
      <c r="N10" s="7">
        <v>10</v>
      </c>
      <c r="O10" s="7">
        <v>20</v>
      </c>
      <c r="P10" s="7">
        <v>49.99</v>
      </c>
      <c r="Q10" s="8">
        <v>100</v>
      </c>
      <c r="R10" s="8">
        <v>200</v>
      </c>
      <c r="S10" s="8">
        <v>499.9</v>
      </c>
      <c r="T10" s="10">
        <v>1</v>
      </c>
      <c r="U10" s="10">
        <v>2</v>
      </c>
      <c r="V10" s="10">
        <v>5</v>
      </c>
      <c r="W10" s="7">
        <v>9.99</v>
      </c>
      <c r="X10" s="7">
        <v>20.01</v>
      </c>
      <c r="Y10" s="7">
        <v>49.97</v>
      </c>
      <c r="Z10" s="8">
        <v>100</v>
      </c>
      <c r="AA10" s="8">
        <v>199.9</v>
      </c>
    </row>
    <row r="11" spans="1:27" ht="15">
      <c r="A11" s="5">
        <v>3</v>
      </c>
      <c r="B11" s="6">
        <v>10</v>
      </c>
      <c r="C11" s="6">
        <v>10</v>
      </c>
      <c r="D11" s="6">
        <v>10.01</v>
      </c>
      <c r="E11" s="6">
        <v>9.998</v>
      </c>
      <c r="F11" s="7">
        <v>20</v>
      </c>
      <c r="G11" s="7">
        <v>49.99</v>
      </c>
      <c r="H11" s="7">
        <v>100</v>
      </c>
      <c r="I11" s="8">
        <v>199.9</v>
      </c>
      <c r="J11" s="8">
        <v>499.9</v>
      </c>
      <c r="K11" s="9">
        <v>1</v>
      </c>
      <c r="L11" s="10">
        <v>2</v>
      </c>
      <c r="M11" s="10">
        <v>4.999</v>
      </c>
      <c r="N11" s="7">
        <v>10</v>
      </c>
      <c r="O11" s="7">
        <v>19.99</v>
      </c>
      <c r="P11" s="7">
        <v>49.98</v>
      </c>
      <c r="Q11" s="8">
        <v>100</v>
      </c>
      <c r="R11" s="8">
        <v>200</v>
      </c>
      <c r="S11" s="8">
        <v>499.8</v>
      </c>
      <c r="T11" s="10">
        <v>0.999</v>
      </c>
      <c r="U11" s="10">
        <v>2.001</v>
      </c>
      <c r="V11" s="10">
        <v>4.998</v>
      </c>
      <c r="W11" s="7">
        <v>10</v>
      </c>
      <c r="X11" s="7">
        <v>20.01</v>
      </c>
      <c r="Y11" s="7">
        <v>49.98</v>
      </c>
      <c r="Z11" s="8">
        <v>99.9</v>
      </c>
      <c r="AA11" s="8">
        <v>199.9</v>
      </c>
    </row>
    <row r="12" spans="1:27" ht="15">
      <c r="A12" s="5">
        <v>4</v>
      </c>
      <c r="B12" s="6">
        <v>10</v>
      </c>
      <c r="C12" s="6">
        <v>10</v>
      </c>
      <c r="D12" s="6">
        <v>10</v>
      </c>
      <c r="E12" s="6">
        <v>10</v>
      </c>
      <c r="F12" s="7">
        <v>20</v>
      </c>
      <c r="G12" s="7">
        <v>49.98</v>
      </c>
      <c r="H12" s="7">
        <v>100</v>
      </c>
      <c r="I12" s="8">
        <v>200</v>
      </c>
      <c r="J12" s="8">
        <v>500</v>
      </c>
      <c r="K12" s="9">
        <v>0.9999</v>
      </c>
      <c r="L12" s="10">
        <v>1.999</v>
      </c>
      <c r="M12" s="10">
        <v>4.999</v>
      </c>
      <c r="N12" s="7">
        <v>10.01</v>
      </c>
      <c r="O12" s="7">
        <v>20</v>
      </c>
      <c r="P12" s="7">
        <v>49.98</v>
      </c>
      <c r="Q12" s="8">
        <v>100</v>
      </c>
      <c r="R12" s="8">
        <v>199.9</v>
      </c>
      <c r="S12" s="8">
        <v>500</v>
      </c>
      <c r="T12" s="10">
        <v>1</v>
      </c>
      <c r="U12" s="10">
        <v>2</v>
      </c>
      <c r="V12" s="10">
        <v>5</v>
      </c>
      <c r="W12" s="7">
        <v>10</v>
      </c>
      <c r="X12" s="7">
        <v>20</v>
      </c>
      <c r="Y12" s="7">
        <v>49.99</v>
      </c>
      <c r="Z12" s="8">
        <v>100</v>
      </c>
      <c r="AA12" s="8">
        <v>200</v>
      </c>
    </row>
    <row r="13" spans="1:27" ht="15">
      <c r="A13" s="5">
        <v>5</v>
      </c>
      <c r="B13" s="6">
        <v>9.992</v>
      </c>
      <c r="C13" s="6">
        <v>10</v>
      </c>
      <c r="D13" s="6">
        <v>10</v>
      </c>
      <c r="E13" s="6">
        <v>9.999</v>
      </c>
      <c r="F13" s="7">
        <v>20</v>
      </c>
      <c r="G13" s="7">
        <v>49.99</v>
      </c>
      <c r="H13" s="7">
        <v>100</v>
      </c>
      <c r="I13" s="8">
        <v>200</v>
      </c>
      <c r="J13" s="8">
        <v>499.9</v>
      </c>
      <c r="K13" s="9">
        <v>1</v>
      </c>
      <c r="L13" s="10">
        <v>2</v>
      </c>
      <c r="M13" s="10">
        <v>4.999</v>
      </c>
      <c r="N13" s="7">
        <v>10</v>
      </c>
      <c r="O13" s="7">
        <v>20</v>
      </c>
      <c r="P13" s="7">
        <v>50</v>
      </c>
      <c r="Q13" s="8">
        <v>100</v>
      </c>
      <c r="R13" s="8">
        <v>200</v>
      </c>
      <c r="S13" s="8">
        <v>499.9</v>
      </c>
      <c r="T13" s="10">
        <v>0.999</v>
      </c>
      <c r="U13" s="10">
        <v>2</v>
      </c>
      <c r="V13" s="10">
        <v>4.999</v>
      </c>
      <c r="W13" s="7">
        <v>9.99</v>
      </c>
      <c r="X13" s="7">
        <v>20</v>
      </c>
      <c r="Y13" s="7">
        <v>49.97</v>
      </c>
      <c r="Z13" s="8">
        <v>100</v>
      </c>
      <c r="AA13" s="8">
        <v>200.1</v>
      </c>
    </row>
    <row r="14" spans="1:27" ht="15">
      <c r="A14" s="5">
        <v>6</v>
      </c>
      <c r="B14" s="6">
        <v>10</v>
      </c>
      <c r="C14" s="6">
        <v>10</v>
      </c>
      <c r="D14" s="6">
        <v>9.99</v>
      </c>
      <c r="E14" s="6">
        <v>10</v>
      </c>
      <c r="F14" s="7">
        <v>19.99</v>
      </c>
      <c r="G14" s="7">
        <v>49.98</v>
      </c>
      <c r="H14" s="7">
        <v>99.99</v>
      </c>
      <c r="I14" s="8">
        <v>200</v>
      </c>
      <c r="J14" s="8">
        <v>499.8</v>
      </c>
      <c r="K14" s="9">
        <v>1</v>
      </c>
      <c r="L14" s="10">
        <v>2</v>
      </c>
      <c r="M14" s="10">
        <v>4.998</v>
      </c>
      <c r="N14" s="7">
        <v>10</v>
      </c>
      <c r="O14" s="7">
        <v>20</v>
      </c>
      <c r="P14" s="7">
        <v>49.98</v>
      </c>
      <c r="Q14" s="8">
        <v>100</v>
      </c>
      <c r="R14" s="8">
        <v>200</v>
      </c>
      <c r="S14" s="8">
        <v>500</v>
      </c>
      <c r="T14" s="10">
        <v>0.998</v>
      </c>
      <c r="U14" s="10">
        <v>2.001</v>
      </c>
      <c r="V14" s="10">
        <v>4.998</v>
      </c>
      <c r="W14" s="7">
        <v>10</v>
      </c>
      <c r="X14" s="7">
        <v>19.99</v>
      </c>
      <c r="Y14" s="7">
        <v>49.98</v>
      </c>
      <c r="Z14" s="8">
        <v>99.9</v>
      </c>
      <c r="AA14" s="8">
        <v>200</v>
      </c>
    </row>
    <row r="15" spans="1:27" ht="15">
      <c r="A15" s="5">
        <v>7</v>
      </c>
      <c r="B15" s="6">
        <v>10</v>
      </c>
      <c r="C15" s="6">
        <v>10</v>
      </c>
      <c r="D15" s="6">
        <v>10</v>
      </c>
      <c r="E15" s="6">
        <v>9.999</v>
      </c>
      <c r="F15" s="7">
        <v>20</v>
      </c>
      <c r="G15" s="7">
        <v>49.98</v>
      </c>
      <c r="H15" s="7">
        <v>100</v>
      </c>
      <c r="I15" s="8">
        <v>200</v>
      </c>
      <c r="J15" s="8">
        <v>499.9</v>
      </c>
      <c r="K15" s="9">
        <v>0.9998</v>
      </c>
      <c r="L15" s="10">
        <v>2</v>
      </c>
      <c r="M15" s="10">
        <v>4.999</v>
      </c>
      <c r="N15" s="7">
        <v>10</v>
      </c>
      <c r="O15" s="7">
        <v>20</v>
      </c>
      <c r="P15" s="7">
        <v>49.99</v>
      </c>
      <c r="Q15" s="8">
        <v>99.9</v>
      </c>
      <c r="R15" s="8">
        <v>200</v>
      </c>
      <c r="S15" s="8">
        <v>499.9</v>
      </c>
      <c r="T15" s="10">
        <v>1</v>
      </c>
      <c r="U15" s="10">
        <v>2.001</v>
      </c>
      <c r="V15" s="10">
        <v>4.999</v>
      </c>
      <c r="W15" s="7">
        <v>10</v>
      </c>
      <c r="X15" s="7">
        <v>20.01</v>
      </c>
      <c r="Y15" s="7">
        <v>49.99</v>
      </c>
      <c r="Z15" s="8">
        <v>100</v>
      </c>
      <c r="AA15" s="8">
        <v>200.1</v>
      </c>
    </row>
    <row r="16" spans="1:27" ht="15">
      <c r="A16" s="5">
        <v>8</v>
      </c>
      <c r="B16" s="6">
        <v>10</v>
      </c>
      <c r="C16" s="6">
        <v>10</v>
      </c>
      <c r="D16" s="6">
        <v>10</v>
      </c>
      <c r="E16" s="6">
        <v>9.998</v>
      </c>
      <c r="F16" s="7">
        <v>20</v>
      </c>
      <c r="G16" s="7">
        <v>49.99</v>
      </c>
      <c r="H16" s="7">
        <v>100</v>
      </c>
      <c r="I16" s="8">
        <v>200</v>
      </c>
      <c r="J16" s="8">
        <v>500</v>
      </c>
      <c r="K16" s="9">
        <v>0.9999</v>
      </c>
      <c r="L16" s="10">
        <v>2</v>
      </c>
      <c r="M16" s="10">
        <v>4.998</v>
      </c>
      <c r="N16" s="7">
        <v>10</v>
      </c>
      <c r="O16" s="7">
        <v>19.99</v>
      </c>
      <c r="P16" s="7">
        <v>50</v>
      </c>
      <c r="Q16" s="8">
        <v>100</v>
      </c>
      <c r="R16" s="8">
        <v>200</v>
      </c>
      <c r="S16" s="8">
        <v>500</v>
      </c>
      <c r="T16" s="10">
        <v>0.999</v>
      </c>
      <c r="U16" s="10">
        <v>2</v>
      </c>
      <c r="V16" s="10">
        <v>4.997</v>
      </c>
      <c r="W16" s="7">
        <v>9.99</v>
      </c>
      <c r="X16" s="7">
        <v>20</v>
      </c>
      <c r="Y16" s="7">
        <v>49.99</v>
      </c>
      <c r="Z16" s="8">
        <v>100</v>
      </c>
      <c r="AA16" s="8">
        <v>199.9</v>
      </c>
    </row>
    <row r="17" spans="1:27" ht="15">
      <c r="A17" s="5">
        <v>9</v>
      </c>
      <c r="B17" s="6">
        <v>10</v>
      </c>
      <c r="C17" s="6">
        <v>10</v>
      </c>
      <c r="D17" s="6">
        <v>10</v>
      </c>
      <c r="E17" s="6">
        <v>10</v>
      </c>
      <c r="F17" s="7">
        <v>20</v>
      </c>
      <c r="G17" s="7">
        <v>49.99</v>
      </c>
      <c r="H17" s="7">
        <v>100</v>
      </c>
      <c r="I17" s="8">
        <v>200</v>
      </c>
      <c r="J17" s="8">
        <v>499.8</v>
      </c>
      <c r="K17" s="9">
        <v>0.9998</v>
      </c>
      <c r="L17" s="10">
        <v>2.001</v>
      </c>
      <c r="M17" s="10">
        <v>4.999</v>
      </c>
      <c r="N17" s="7">
        <v>10</v>
      </c>
      <c r="O17" s="7">
        <v>20</v>
      </c>
      <c r="P17" s="7">
        <v>49.99</v>
      </c>
      <c r="Q17" s="8">
        <v>100</v>
      </c>
      <c r="R17" s="8">
        <v>199.9</v>
      </c>
      <c r="S17" s="8">
        <v>499.9</v>
      </c>
      <c r="T17" s="10">
        <v>0.999</v>
      </c>
      <c r="U17" s="10">
        <v>2</v>
      </c>
      <c r="V17" s="10">
        <v>5</v>
      </c>
      <c r="W17" s="7">
        <v>10</v>
      </c>
      <c r="X17" s="7">
        <v>20</v>
      </c>
      <c r="Y17" s="7">
        <v>50</v>
      </c>
      <c r="Z17" s="8">
        <v>99.9</v>
      </c>
      <c r="AA17" s="8">
        <v>200.1</v>
      </c>
    </row>
    <row r="18" spans="1:27" ht="15">
      <c r="A18" s="5">
        <v>10</v>
      </c>
      <c r="B18" s="6">
        <v>10</v>
      </c>
      <c r="C18" s="6">
        <v>10</v>
      </c>
      <c r="D18" s="6">
        <v>10</v>
      </c>
      <c r="E18" s="6">
        <v>9.999</v>
      </c>
      <c r="F18" s="7">
        <v>20</v>
      </c>
      <c r="G18" s="7">
        <v>49.98</v>
      </c>
      <c r="H18" s="7">
        <v>100.01</v>
      </c>
      <c r="I18" s="8">
        <v>200</v>
      </c>
      <c r="J18" s="8">
        <v>499.9</v>
      </c>
      <c r="K18" s="9">
        <v>0.9999</v>
      </c>
      <c r="L18" s="10">
        <v>2</v>
      </c>
      <c r="M18" s="10">
        <v>4.998</v>
      </c>
      <c r="N18" s="10">
        <v>10</v>
      </c>
      <c r="O18" s="7">
        <v>20</v>
      </c>
      <c r="P18" s="7">
        <v>49.98</v>
      </c>
      <c r="Q18" s="8">
        <v>100</v>
      </c>
      <c r="R18" s="8">
        <v>200</v>
      </c>
      <c r="S18" s="8">
        <v>499.8</v>
      </c>
      <c r="T18" s="10">
        <v>0.998</v>
      </c>
      <c r="U18" s="10">
        <v>2</v>
      </c>
      <c r="V18" s="10">
        <v>4.999</v>
      </c>
      <c r="W18" s="7">
        <v>10</v>
      </c>
      <c r="X18" s="7">
        <v>19.99</v>
      </c>
      <c r="Y18" s="7">
        <v>49.98</v>
      </c>
      <c r="Z18" s="8">
        <v>99.9</v>
      </c>
      <c r="AA18" s="8">
        <v>200</v>
      </c>
    </row>
    <row r="19" spans="1:27" ht="15">
      <c r="A19" s="5" t="s">
        <v>12</v>
      </c>
      <c r="B19" s="11">
        <f aca="true" t="shared" si="0" ref="B19:AA19">STDEV(B9:B18)/((10)^0.5)</f>
        <v>0.001066666666666549</v>
      </c>
      <c r="C19" s="11">
        <f t="shared" si="0"/>
        <v>0</v>
      </c>
      <c r="D19" s="11">
        <f t="shared" si="0"/>
        <v>0.0014907119849998278</v>
      </c>
      <c r="E19" s="11">
        <f t="shared" si="0"/>
        <v>0.0002768874620973509</v>
      </c>
      <c r="F19" s="11">
        <f t="shared" si="0"/>
        <v>0.001000000000000156</v>
      </c>
      <c r="G19" s="11">
        <f t="shared" si="0"/>
        <v>0.0021343747458115606</v>
      </c>
      <c r="H19" s="11">
        <f t="shared" si="0"/>
        <v>0.0014907119850006221</v>
      </c>
      <c r="I19" s="11">
        <f t="shared" si="0"/>
        <v>0.009999999999999426</v>
      </c>
      <c r="J19" s="11">
        <f t="shared" si="0"/>
        <v>0.021081851067787996</v>
      </c>
      <c r="K19" s="11">
        <f t="shared" si="0"/>
        <v>2.7688746209723868E-05</v>
      </c>
      <c r="L19" s="11">
        <f t="shared" si="0"/>
        <v>0.00014907119849996955</v>
      </c>
      <c r="M19" s="11">
        <f t="shared" si="0"/>
        <v>0.00016329931618545471</v>
      </c>
      <c r="N19" s="11">
        <f t="shared" si="0"/>
        <v>0.0009999999999999783</v>
      </c>
      <c r="O19" s="11">
        <f t="shared" si="0"/>
        <v>0.0013333333333335419</v>
      </c>
      <c r="P19" s="11">
        <f t="shared" si="0"/>
        <v>0.002494438257849811</v>
      </c>
      <c r="Q19" s="11">
        <f t="shared" si="0"/>
        <v>0.009999999999999431</v>
      </c>
      <c r="R19" s="11">
        <f t="shared" si="0"/>
        <v>0.013333333333332574</v>
      </c>
      <c r="S19" s="11">
        <f t="shared" si="0"/>
        <v>0.024944382578492536</v>
      </c>
      <c r="T19" s="11">
        <f t="shared" si="0"/>
        <v>0.00024944382578492966</v>
      </c>
      <c r="U19" s="11">
        <f t="shared" si="0"/>
        <v>0.00015275252316517785</v>
      </c>
      <c r="V19" s="11">
        <f t="shared" si="0"/>
        <v>0.0003666666666666599</v>
      </c>
      <c r="W19" s="11">
        <f t="shared" si="0"/>
        <v>0.0015275252316519139</v>
      </c>
      <c r="X19" s="11">
        <f t="shared" si="0"/>
        <v>0.0025819888974720146</v>
      </c>
      <c r="Y19" s="11">
        <f t="shared" si="0"/>
        <v>0.003415650255320226</v>
      </c>
      <c r="Z19" s="11">
        <f t="shared" si="0"/>
        <v>0.016329931618553593</v>
      </c>
      <c r="AA19" s="11">
        <f t="shared" si="0"/>
        <v>0.02581988897471464</v>
      </c>
    </row>
    <row r="20" spans="1:27" ht="15">
      <c r="A20" s="5"/>
      <c r="B20" s="5" t="s">
        <v>6</v>
      </c>
      <c r="C20" s="5"/>
      <c r="D20" s="5"/>
      <c r="E20" s="5"/>
      <c r="F20" s="5"/>
      <c r="G20" s="5"/>
      <c r="H20" s="5"/>
      <c r="I20" s="5"/>
      <c r="J20" s="5"/>
      <c r="K20" s="5" t="s">
        <v>7</v>
      </c>
      <c r="L20" s="5"/>
      <c r="M20" s="5"/>
      <c r="N20" s="5"/>
      <c r="O20" s="5"/>
      <c r="P20" s="5"/>
      <c r="Q20" s="5"/>
      <c r="R20" s="5"/>
      <c r="S20" s="5"/>
      <c r="T20" s="5" t="s">
        <v>8</v>
      </c>
      <c r="U20" s="5"/>
      <c r="V20" s="5"/>
      <c r="W20" s="5"/>
      <c r="X20" s="5"/>
      <c r="Y20" s="5"/>
      <c r="Z20" s="5"/>
      <c r="AA20" s="5"/>
    </row>
    <row r="21" spans="1:27" ht="15">
      <c r="A21" s="12" t="s">
        <v>25</v>
      </c>
      <c r="B21" s="13">
        <f>AVERAGE(B9:B18)-C$32+B$32</f>
        <v>10.0084</v>
      </c>
      <c r="C21" s="13">
        <f>AVERAGE(C9:C18)-C$32+B$32</f>
        <v>10.01</v>
      </c>
      <c r="D21" s="13">
        <f>AVERAGE(D9:D18)-C$32+B$32</f>
        <v>10.01</v>
      </c>
      <c r="E21" s="13">
        <f>AVERAGE(E9:E18)-C$32+B$32</f>
        <v>10.0091</v>
      </c>
      <c r="F21" s="14">
        <f aca="true" t="shared" si="1" ref="F21:Q21">AVERAGE(F9:F18)/$F$38</f>
        <v>19.99937998821978</v>
      </c>
      <c r="G21" s="15">
        <f t="shared" si="1"/>
        <v>49.98794977104566</v>
      </c>
      <c r="H21" s="15">
        <f t="shared" si="1"/>
        <v>100.0019000361007</v>
      </c>
      <c r="I21" s="16">
        <f t="shared" si="1"/>
        <v>199.99379988219778</v>
      </c>
      <c r="J21" s="16">
        <f t="shared" si="1"/>
        <v>499.90949828046735</v>
      </c>
      <c r="K21" s="17">
        <f t="shared" si="1"/>
        <v>0.9999289986509745</v>
      </c>
      <c r="L21" s="17">
        <f t="shared" si="1"/>
        <v>2.000038000722014</v>
      </c>
      <c r="M21" s="14">
        <f t="shared" si="1"/>
        <v>4.998694975204529</v>
      </c>
      <c r="N21" s="14">
        <f t="shared" si="1"/>
        <v>10.00119002261043</v>
      </c>
      <c r="O21" s="14">
        <f t="shared" si="1"/>
        <v>19.998379969219418</v>
      </c>
      <c r="P21" s="15">
        <f t="shared" si="1"/>
        <v>49.98894979004602</v>
      </c>
      <c r="Q21" s="15">
        <f t="shared" si="1"/>
        <v>99.99189984609708</v>
      </c>
      <c r="R21" s="18">
        <f aca="true" t="shared" si="2" ref="R21:AA21">AVERAGE(R9:R18)/$F$40</f>
        <v>199.9799060094442</v>
      </c>
      <c r="S21" s="18">
        <f t="shared" si="2"/>
        <v>499.91976503771036</v>
      </c>
      <c r="T21" s="18">
        <f t="shared" si="2"/>
        <v>0.9991995303762206</v>
      </c>
      <c r="U21" s="18">
        <f t="shared" si="2"/>
        <v>2.000299059859442</v>
      </c>
      <c r="V21" s="18">
        <f t="shared" si="2"/>
        <v>4.998697650612105</v>
      </c>
      <c r="W21" s="18">
        <f t="shared" si="2"/>
        <v>9.996995301412207</v>
      </c>
      <c r="X21" s="18">
        <f t="shared" si="2"/>
        <v>19.999990600004416</v>
      </c>
      <c r="Y21" s="18">
        <f t="shared" si="2"/>
        <v>49.98497650706104</v>
      </c>
      <c r="Z21" s="18">
        <f t="shared" si="2"/>
        <v>99.95995301882208</v>
      </c>
      <c r="AA21" s="18">
        <f t="shared" si="2"/>
        <v>199.99990600004418</v>
      </c>
    </row>
    <row r="22" spans="1:27" ht="15">
      <c r="A22" s="12" t="s">
        <v>18</v>
      </c>
      <c r="B22" s="19">
        <f>($D$32/2/$C$32)</f>
        <v>0.0005005005005005005</v>
      </c>
      <c r="C22" s="19">
        <f>($D$32/2/$C$32)</f>
        <v>0.0005005005005005005</v>
      </c>
      <c r="D22" s="19">
        <f>($D$32/2/$C$32)</f>
        <v>0.0005005005005005005</v>
      </c>
      <c r="E22" s="19">
        <f>($D$32/2/$C$32)</f>
        <v>0.0005005005005005005</v>
      </c>
      <c r="F22" s="19">
        <f aca="true" t="shared" si="3" ref="F22:Q22">($D$33/2/F8)</f>
        <v>0.00025</v>
      </c>
      <c r="G22" s="19">
        <f t="shared" si="3"/>
        <v>0.0001</v>
      </c>
      <c r="H22" s="19">
        <f t="shared" si="3"/>
        <v>5E-05</v>
      </c>
      <c r="I22" s="19">
        <f t="shared" si="3"/>
        <v>2.5E-05</v>
      </c>
      <c r="J22" s="19">
        <f t="shared" si="3"/>
        <v>1E-05</v>
      </c>
      <c r="K22" s="19">
        <f t="shared" si="3"/>
        <v>0.005</v>
      </c>
      <c r="L22" s="19">
        <f t="shared" si="3"/>
        <v>0.0025</v>
      </c>
      <c r="M22" s="19">
        <f t="shared" si="3"/>
        <v>0.001</v>
      </c>
      <c r="N22" s="19">
        <f t="shared" si="3"/>
        <v>0.0005</v>
      </c>
      <c r="O22" s="19">
        <f t="shared" si="3"/>
        <v>0.00025</v>
      </c>
      <c r="P22" s="19">
        <f t="shared" si="3"/>
        <v>0.0001</v>
      </c>
      <c r="Q22" s="19">
        <f t="shared" si="3"/>
        <v>5E-05</v>
      </c>
      <c r="R22" s="19">
        <f aca="true" t="shared" si="4" ref="R22:AA22">($D$40/2/R8)</f>
        <v>2.5E-09</v>
      </c>
      <c r="S22" s="19">
        <f t="shared" si="4"/>
        <v>9.999999999999999E-10</v>
      </c>
      <c r="T22" s="19">
        <f t="shared" si="4"/>
        <v>5E-07</v>
      </c>
      <c r="U22" s="19">
        <f t="shared" si="4"/>
        <v>2.5E-07</v>
      </c>
      <c r="V22" s="19">
        <f t="shared" si="4"/>
        <v>1E-07</v>
      </c>
      <c r="W22" s="19">
        <f t="shared" si="4"/>
        <v>5E-08</v>
      </c>
      <c r="X22" s="19">
        <f t="shared" si="4"/>
        <v>2.5E-08</v>
      </c>
      <c r="Y22" s="19">
        <f t="shared" si="4"/>
        <v>1E-08</v>
      </c>
      <c r="Z22" s="19">
        <f t="shared" si="4"/>
        <v>5E-09</v>
      </c>
      <c r="AA22" s="19">
        <f t="shared" si="4"/>
        <v>2.5E-09</v>
      </c>
    </row>
    <row r="23" spans="1:27" ht="15">
      <c r="A23" s="5" t="s">
        <v>17</v>
      </c>
      <c r="B23" s="20">
        <v>0.00029</v>
      </c>
      <c r="C23" s="20">
        <v>0.00029</v>
      </c>
      <c r="D23" s="20">
        <v>0.00029</v>
      </c>
      <c r="E23" s="20">
        <v>0.00029</v>
      </c>
      <c r="F23" s="20">
        <v>0.0029</v>
      </c>
      <c r="G23" s="20">
        <v>0.0029</v>
      </c>
      <c r="H23" s="20">
        <v>0.0029</v>
      </c>
      <c r="I23" s="20">
        <v>0.029</v>
      </c>
      <c r="J23" s="20">
        <v>0.029</v>
      </c>
      <c r="K23" s="20">
        <f aca="true" t="shared" si="5" ref="K23:AA23">B23</f>
        <v>0.00029</v>
      </c>
      <c r="L23" s="20">
        <f t="shared" si="5"/>
        <v>0.00029</v>
      </c>
      <c r="M23" s="20">
        <f t="shared" si="5"/>
        <v>0.00029</v>
      </c>
      <c r="N23" s="20">
        <f t="shared" si="5"/>
        <v>0.00029</v>
      </c>
      <c r="O23" s="20">
        <f t="shared" si="5"/>
        <v>0.0029</v>
      </c>
      <c r="P23" s="20">
        <f t="shared" si="5"/>
        <v>0.0029</v>
      </c>
      <c r="Q23" s="20">
        <f t="shared" si="5"/>
        <v>0.0029</v>
      </c>
      <c r="R23" s="20">
        <f t="shared" si="5"/>
        <v>0.029</v>
      </c>
      <c r="S23" s="20">
        <f t="shared" si="5"/>
        <v>0.029</v>
      </c>
      <c r="T23" s="20">
        <f t="shared" si="5"/>
        <v>0.00029</v>
      </c>
      <c r="U23" s="20">
        <f t="shared" si="5"/>
        <v>0.00029</v>
      </c>
      <c r="V23" s="20">
        <f t="shared" si="5"/>
        <v>0.00029</v>
      </c>
      <c r="W23" s="20">
        <f t="shared" si="5"/>
        <v>0.00029</v>
      </c>
      <c r="X23" s="20">
        <f t="shared" si="5"/>
        <v>0.0029</v>
      </c>
      <c r="Y23" s="20">
        <f t="shared" si="5"/>
        <v>0.0029</v>
      </c>
      <c r="Z23" s="20">
        <f t="shared" si="5"/>
        <v>0.0029</v>
      </c>
      <c r="AA23" s="20">
        <f t="shared" si="5"/>
        <v>0.029</v>
      </c>
    </row>
    <row r="24" spans="1:27" ht="15">
      <c r="A24" s="12" t="s">
        <v>13</v>
      </c>
      <c r="B24" s="11">
        <f aca="true" t="shared" si="6" ref="B24:AA24">((B22^2+(B23)^2+B19^2))^0.5</f>
        <v>0.001213416057574144</v>
      </c>
      <c r="C24" s="11">
        <f t="shared" si="6"/>
        <v>0.0005784468437127577</v>
      </c>
      <c r="D24" s="11">
        <f t="shared" si="6"/>
        <v>0.0015990068709118726</v>
      </c>
      <c r="E24" s="11">
        <f t="shared" si="6"/>
        <v>0.000641301347003079</v>
      </c>
      <c r="F24" s="11">
        <f t="shared" si="6"/>
        <v>0.0030777426793025292</v>
      </c>
      <c r="G24" s="11">
        <f t="shared" si="6"/>
        <v>0.0036021598459199675</v>
      </c>
      <c r="H24" s="11">
        <f t="shared" si="6"/>
        <v>0.003261092182417494</v>
      </c>
      <c r="I24" s="11">
        <f t="shared" si="6"/>
        <v>0.03067573348756291</v>
      </c>
      <c r="J24" s="11">
        <f t="shared" si="6"/>
        <v>0.035853096720428405</v>
      </c>
      <c r="K24" s="11">
        <f t="shared" si="6"/>
        <v>0.005008479476514471</v>
      </c>
      <c r="L24" s="11">
        <f t="shared" si="6"/>
        <v>0.0025211747702652857</v>
      </c>
      <c r="M24" s="11">
        <f t="shared" si="6"/>
        <v>0.0010539291563794206</v>
      </c>
      <c r="N24" s="11">
        <f t="shared" si="6"/>
        <v>0.0011550324670761237</v>
      </c>
      <c r="O24" s="11">
        <f t="shared" si="6"/>
        <v>0.0032016055000231264</v>
      </c>
      <c r="P24" s="11">
        <f t="shared" si="6"/>
        <v>0.003826515676464007</v>
      </c>
      <c r="Q24" s="11">
        <f t="shared" si="6"/>
        <v>0.010412132346449915</v>
      </c>
      <c r="R24" s="11">
        <f t="shared" si="6"/>
        <v>0.0319182984787373</v>
      </c>
      <c r="S24" s="11">
        <f t="shared" si="6"/>
        <v>0.03825208781520563</v>
      </c>
      <c r="T24" s="11">
        <f t="shared" si="6"/>
        <v>0.00038252120493146826</v>
      </c>
      <c r="U24" s="11">
        <f t="shared" si="6"/>
        <v>0.000327770340075682</v>
      </c>
      <c r="V24" s="11">
        <f t="shared" si="6"/>
        <v>0.0004674873842623344</v>
      </c>
      <c r="W24" s="11">
        <f t="shared" si="6"/>
        <v>0.00155480974264803</v>
      </c>
      <c r="X24" s="11">
        <f t="shared" si="6"/>
        <v>0.0038828683556481475</v>
      </c>
      <c r="Y24" s="11">
        <f t="shared" si="6"/>
        <v>0.004480699350187326</v>
      </c>
      <c r="Z24" s="11">
        <f t="shared" si="6"/>
        <v>0.01658543537766378</v>
      </c>
      <c r="AA24" s="11">
        <f t="shared" si="6"/>
        <v>0.03882868355567308</v>
      </c>
    </row>
    <row r="30" spans="1:11" ht="15.75" thickBot="1">
      <c r="A30" s="21" t="s">
        <v>31</v>
      </c>
      <c r="B30" s="22"/>
      <c r="C30" s="22"/>
      <c r="D30" s="22"/>
      <c r="E30" s="22"/>
      <c r="K30" s="23" t="s">
        <v>15</v>
      </c>
    </row>
    <row r="31" spans="1:14" ht="45">
      <c r="A31" s="24"/>
      <c r="B31" s="24" t="s">
        <v>14</v>
      </c>
      <c r="C31" s="24" t="s">
        <v>11</v>
      </c>
      <c r="D31" s="25" t="s">
        <v>19</v>
      </c>
      <c r="E31" s="24" t="s">
        <v>4</v>
      </c>
      <c r="F31" s="24" t="s">
        <v>5</v>
      </c>
      <c r="K31" s="26" t="s">
        <v>115</v>
      </c>
      <c r="L31" s="27" t="s">
        <v>23</v>
      </c>
      <c r="M31" s="28" t="s">
        <v>24</v>
      </c>
      <c r="N31" s="29" t="s">
        <v>20</v>
      </c>
    </row>
    <row r="32" spans="1:14" ht="15">
      <c r="A32" s="24" t="s">
        <v>6</v>
      </c>
      <c r="B32" s="6">
        <v>10</v>
      </c>
      <c r="C32" s="10">
        <v>9.99</v>
      </c>
      <c r="D32" s="10">
        <v>0.01</v>
      </c>
      <c r="E32" s="30">
        <f>B32*$F$38</f>
        <v>9.999809999999998</v>
      </c>
      <c r="F32" s="5"/>
      <c r="K32" s="31">
        <f>B7</f>
        <v>1000</v>
      </c>
      <c r="L32" s="32">
        <f>B8</f>
        <v>10</v>
      </c>
      <c r="M32" s="32">
        <f>B21</f>
        <v>10.0084</v>
      </c>
      <c r="N32" s="33">
        <f>B24</f>
        <v>0.001213416057574144</v>
      </c>
    </row>
    <row r="33" spans="1:14" ht="15">
      <c r="A33" s="24"/>
      <c r="B33" s="6">
        <v>400</v>
      </c>
      <c r="C33" s="10">
        <v>399.99</v>
      </c>
      <c r="D33" s="10">
        <f>D32</f>
        <v>0.01</v>
      </c>
      <c r="E33" s="34">
        <f>B33*$F$38</f>
        <v>399.9924</v>
      </c>
      <c r="F33" s="5"/>
      <c r="K33" s="31">
        <f>C7</f>
        <v>500</v>
      </c>
      <c r="L33" s="32">
        <f>C8</f>
        <v>10</v>
      </c>
      <c r="M33" s="32">
        <f>C21</f>
        <v>10.01</v>
      </c>
      <c r="N33" s="33">
        <f>C24</f>
        <v>0.0005784468437127577</v>
      </c>
    </row>
    <row r="34" spans="1:14" ht="15">
      <c r="A34" s="24"/>
      <c r="B34" s="35"/>
      <c r="C34" s="36"/>
      <c r="D34" s="36"/>
      <c r="E34" s="34"/>
      <c r="F34" s="5"/>
      <c r="K34" s="31">
        <f>D7</f>
        <v>200</v>
      </c>
      <c r="L34" s="32">
        <f>D8</f>
        <v>10</v>
      </c>
      <c r="M34" s="32">
        <f>D21</f>
        <v>10.01</v>
      </c>
      <c r="N34" s="33">
        <f>D24</f>
        <v>0.0015990068709118726</v>
      </c>
    </row>
    <row r="35" spans="1:14" ht="15">
      <c r="A35" s="24" t="s">
        <v>7</v>
      </c>
      <c r="B35" s="37">
        <v>1</v>
      </c>
      <c r="C35" s="38">
        <v>0.99998</v>
      </c>
      <c r="D35" s="38">
        <f>D$38</f>
        <v>0.0001</v>
      </c>
      <c r="E35" s="39">
        <f>B35*$F$38</f>
        <v>0.9999809999999999</v>
      </c>
      <c r="F35" s="11"/>
      <c r="K35" s="31">
        <f>E7</f>
        <v>100</v>
      </c>
      <c r="L35" s="32">
        <f>E8</f>
        <v>10</v>
      </c>
      <c r="M35" s="32">
        <f>E21</f>
        <v>10.0091</v>
      </c>
      <c r="N35" s="33">
        <f>E24</f>
        <v>0.000641301347003079</v>
      </c>
    </row>
    <row r="36" spans="1:14" ht="15">
      <c r="A36" s="24"/>
      <c r="B36" s="37">
        <v>3</v>
      </c>
      <c r="C36" s="38">
        <v>2.9999</v>
      </c>
      <c r="D36" s="38">
        <f>D$38</f>
        <v>0.0001</v>
      </c>
      <c r="E36" s="39">
        <f>B36*$F$38</f>
        <v>2.9999429999999996</v>
      </c>
      <c r="F36" s="11"/>
      <c r="K36" s="31">
        <f>F7</f>
        <v>50</v>
      </c>
      <c r="L36" s="32">
        <f>F8</f>
        <v>20</v>
      </c>
      <c r="M36" s="32">
        <f>F21</f>
        <v>19.99937998821978</v>
      </c>
      <c r="N36" s="33">
        <f>F24</f>
        <v>0.0030777426793025292</v>
      </c>
    </row>
    <row r="37" spans="1:14" ht="15">
      <c r="A37" s="24"/>
      <c r="B37" s="37">
        <v>15</v>
      </c>
      <c r="C37" s="38">
        <v>14.9997</v>
      </c>
      <c r="D37" s="38">
        <f>D$38</f>
        <v>0.0001</v>
      </c>
      <c r="E37" s="39">
        <f>B37*$F$38</f>
        <v>14.999714999999998</v>
      </c>
      <c r="F37" s="11"/>
      <c r="K37" s="31">
        <f>G7</f>
        <v>20</v>
      </c>
      <c r="L37" s="32">
        <f>G8</f>
        <v>50</v>
      </c>
      <c r="M37" s="32">
        <f>G21</f>
        <v>49.98794977104566</v>
      </c>
      <c r="N37" s="33">
        <f>G24</f>
        <v>0.0036021598459199675</v>
      </c>
    </row>
    <row r="38" spans="1:14" ht="15">
      <c r="A38" s="24"/>
      <c r="B38" s="37">
        <v>100</v>
      </c>
      <c r="C38" s="38">
        <v>99.9981</v>
      </c>
      <c r="D38" s="38">
        <v>0.0001</v>
      </c>
      <c r="E38" s="39">
        <f>B38*$F$38</f>
        <v>99.9981</v>
      </c>
      <c r="F38" s="39">
        <f>C38/B38</f>
        <v>0.9999809999999999</v>
      </c>
      <c r="K38" s="31">
        <f>H7</f>
        <v>10</v>
      </c>
      <c r="L38" s="32">
        <f>H8</f>
        <v>100</v>
      </c>
      <c r="M38" s="32">
        <f>H21</f>
        <v>100.0019000361007</v>
      </c>
      <c r="N38" s="33">
        <f>H24</f>
        <v>0.003261092182417494</v>
      </c>
    </row>
    <row r="39" spans="1:14" ht="15">
      <c r="A39" s="24"/>
      <c r="B39" s="40"/>
      <c r="C39" s="11"/>
      <c r="D39" s="41"/>
      <c r="E39" s="42"/>
      <c r="F39" s="43"/>
      <c r="K39" s="31">
        <f>I7</f>
        <v>5</v>
      </c>
      <c r="L39" s="44">
        <f>I8</f>
        <v>200</v>
      </c>
      <c r="M39" s="44">
        <f>I21</f>
        <v>199.99379988219778</v>
      </c>
      <c r="N39" s="45">
        <f>I24</f>
        <v>0.03067573348756291</v>
      </c>
    </row>
    <row r="40" spans="1:14" ht="15.75" thickBot="1">
      <c r="A40" s="24" t="s">
        <v>8</v>
      </c>
      <c r="B40" s="46">
        <v>10</v>
      </c>
      <c r="C40" s="47">
        <v>10.0000047</v>
      </c>
      <c r="D40" s="47">
        <f aca="true" t="shared" si="7" ref="D40:D45">D$46</f>
        <v>1E-06</v>
      </c>
      <c r="E40" s="48">
        <f aca="true" t="shared" si="8" ref="E40:E46">$F$40*B40</f>
        <v>10.0000047</v>
      </c>
      <c r="F40" s="48">
        <f>C40/B40</f>
        <v>1.00000047</v>
      </c>
      <c r="K40" s="31">
        <f>J7</f>
        <v>2</v>
      </c>
      <c r="L40" s="44">
        <f>J8</f>
        <v>500</v>
      </c>
      <c r="M40" s="44">
        <f>J21</f>
        <v>499.90949828046735</v>
      </c>
      <c r="N40" s="45">
        <f>J24</f>
        <v>0.035853096720428405</v>
      </c>
    </row>
    <row r="41" spans="1:14" ht="15">
      <c r="A41" s="24"/>
      <c r="B41" s="46">
        <v>60</v>
      </c>
      <c r="C41" s="47"/>
      <c r="D41" s="47">
        <f t="shared" si="7"/>
        <v>1E-06</v>
      </c>
      <c r="E41" s="48">
        <f t="shared" si="8"/>
        <v>60.0000282</v>
      </c>
      <c r="F41" s="48"/>
      <c r="K41" s="49" t="s">
        <v>117</v>
      </c>
      <c r="L41" s="27" t="s">
        <v>28</v>
      </c>
      <c r="M41" s="28" t="s">
        <v>26</v>
      </c>
      <c r="N41" s="50" t="s">
        <v>21</v>
      </c>
    </row>
    <row r="42" spans="1:14" ht="15">
      <c r="A42" s="24"/>
      <c r="B42" s="46">
        <v>90</v>
      </c>
      <c r="C42" s="47"/>
      <c r="D42" s="47">
        <f t="shared" si="7"/>
        <v>1E-06</v>
      </c>
      <c r="E42" s="48">
        <f t="shared" si="8"/>
        <v>90.0000423</v>
      </c>
      <c r="F42" s="48"/>
      <c r="K42" s="31">
        <f>K7</f>
        <v>1000</v>
      </c>
      <c r="L42" s="51">
        <f>K8</f>
        <v>1</v>
      </c>
      <c r="M42" s="51">
        <f>K21</f>
        <v>0.9999289986509745</v>
      </c>
      <c r="N42" s="52">
        <f>K24</f>
        <v>0.005008479476514471</v>
      </c>
    </row>
    <row r="43" spans="1:14" ht="15">
      <c r="A43" s="24"/>
      <c r="B43" s="46">
        <v>150</v>
      </c>
      <c r="C43" s="47"/>
      <c r="D43" s="47">
        <f t="shared" si="7"/>
        <v>1E-06</v>
      </c>
      <c r="E43" s="48">
        <f t="shared" si="8"/>
        <v>150.0000705</v>
      </c>
      <c r="F43" s="48"/>
      <c r="K43" s="31">
        <f>L7</f>
        <v>500</v>
      </c>
      <c r="L43" s="51">
        <f>L8</f>
        <v>2</v>
      </c>
      <c r="M43" s="51">
        <f>L21</f>
        <v>2.000038000722014</v>
      </c>
      <c r="N43" s="52">
        <f>L24</f>
        <v>0.0025211747702652857</v>
      </c>
    </row>
    <row r="44" spans="1:14" ht="15">
      <c r="A44" s="24"/>
      <c r="B44" s="46">
        <v>400</v>
      </c>
      <c r="C44" s="47"/>
      <c r="D44" s="47">
        <f t="shared" si="7"/>
        <v>1E-06</v>
      </c>
      <c r="E44" s="48">
        <f t="shared" si="8"/>
        <v>400.00018800000004</v>
      </c>
      <c r="F44" s="48"/>
      <c r="K44" s="31">
        <f>M7</f>
        <v>200</v>
      </c>
      <c r="L44" s="51">
        <f>M8</f>
        <v>5</v>
      </c>
      <c r="M44" s="51">
        <f>M21</f>
        <v>4.998694975204529</v>
      </c>
      <c r="N44" s="52">
        <f>M24</f>
        <v>0.0010539291563794206</v>
      </c>
    </row>
    <row r="45" spans="1:14" ht="15">
      <c r="A45" s="24"/>
      <c r="B45" s="46">
        <v>700</v>
      </c>
      <c r="C45" s="47"/>
      <c r="D45" s="47">
        <f t="shared" si="7"/>
        <v>1E-06</v>
      </c>
      <c r="E45" s="48">
        <f t="shared" si="8"/>
        <v>700.000329</v>
      </c>
      <c r="F45" s="48"/>
      <c r="K45" s="31">
        <f>N7</f>
        <v>100</v>
      </c>
      <c r="L45" s="32">
        <f>N8</f>
        <v>10</v>
      </c>
      <c r="M45" s="32">
        <f>N21</f>
        <v>10.00119002261043</v>
      </c>
      <c r="N45" s="33">
        <f>N24</f>
        <v>0.0011550324670761237</v>
      </c>
    </row>
    <row r="46" spans="1:14" ht="15">
      <c r="A46" s="24"/>
      <c r="B46" s="46">
        <v>1000</v>
      </c>
      <c r="C46" s="47"/>
      <c r="D46" s="47">
        <v>1E-06</v>
      </c>
      <c r="E46" s="48">
        <f t="shared" si="8"/>
        <v>1000.0004700000001</v>
      </c>
      <c r="F46" s="48"/>
      <c r="K46" s="31">
        <f>O7</f>
        <v>50</v>
      </c>
      <c r="L46" s="32">
        <f>O8</f>
        <v>20</v>
      </c>
      <c r="M46" s="32">
        <f>O21</f>
        <v>19.998379969219418</v>
      </c>
      <c r="N46" s="33">
        <f>O24</f>
        <v>0.0032016055000231264</v>
      </c>
    </row>
    <row r="47" spans="11:14" ht="15">
      <c r="K47" s="31">
        <f>P7</f>
        <v>20</v>
      </c>
      <c r="L47" s="32">
        <f>P8</f>
        <v>50</v>
      </c>
      <c r="M47" s="32">
        <f>P21</f>
        <v>49.98894979004602</v>
      </c>
      <c r="N47" s="33">
        <f>P24</f>
        <v>0.003826515676464007</v>
      </c>
    </row>
    <row r="48" spans="11:14" ht="15">
      <c r="K48" s="31">
        <f>Q7</f>
        <v>10</v>
      </c>
      <c r="L48" s="44">
        <f>Q8</f>
        <v>100</v>
      </c>
      <c r="M48" s="44">
        <f>Q21</f>
        <v>99.99189984609708</v>
      </c>
      <c r="N48" s="45">
        <f>Q24</f>
        <v>0.010412132346449915</v>
      </c>
    </row>
    <row r="49" spans="11:14" ht="15">
      <c r="K49" s="31">
        <f>R7</f>
        <v>5</v>
      </c>
      <c r="L49" s="44">
        <f>R8</f>
        <v>200</v>
      </c>
      <c r="M49" s="44">
        <f>R21</f>
        <v>199.9799060094442</v>
      </c>
      <c r="N49" s="45">
        <f>R24</f>
        <v>0.0319182984787373</v>
      </c>
    </row>
    <row r="50" spans="11:14" ht="15.75" thickBot="1">
      <c r="K50" s="31">
        <f>S7</f>
        <v>2</v>
      </c>
      <c r="L50" s="44">
        <f>S8</f>
        <v>500</v>
      </c>
      <c r="M50" s="44">
        <f>S21</f>
        <v>499.91976503771036</v>
      </c>
      <c r="N50" s="45">
        <f>S24</f>
        <v>0.03825208781520563</v>
      </c>
    </row>
    <row r="51" spans="11:14" ht="30">
      <c r="K51" s="49" t="s">
        <v>118</v>
      </c>
      <c r="L51" s="27" t="s">
        <v>27</v>
      </c>
      <c r="M51" s="28" t="s">
        <v>29</v>
      </c>
      <c r="N51" s="50" t="s">
        <v>22</v>
      </c>
    </row>
    <row r="52" spans="11:14" ht="15">
      <c r="K52" s="31">
        <f>T7</f>
        <v>1000</v>
      </c>
      <c r="L52" s="51">
        <f>T8</f>
        <v>1</v>
      </c>
      <c r="M52" s="51">
        <f>T21</f>
        <v>0.9991995303762206</v>
      </c>
      <c r="N52" s="52">
        <f>T24</f>
        <v>0.00038252120493146826</v>
      </c>
    </row>
    <row r="53" spans="11:14" ht="15">
      <c r="K53" s="31">
        <f>U7</f>
        <v>500</v>
      </c>
      <c r="L53" s="51">
        <f>U8</f>
        <v>2</v>
      </c>
      <c r="M53" s="51">
        <f>U21</f>
        <v>2.000299059859442</v>
      </c>
      <c r="N53" s="52">
        <f>U24</f>
        <v>0.000327770340075682</v>
      </c>
    </row>
    <row r="54" spans="11:14" ht="15">
      <c r="K54" s="31">
        <f>V7</f>
        <v>200</v>
      </c>
      <c r="L54" s="51">
        <f>V8</f>
        <v>5</v>
      </c>
      <c r="M54" s="51">
        <f>V21</f>
        <v>4.998697650612105</v>
      </c>
      <c r="N54" s="52">
        <f>V24</f>
        <v>0.0004674873842623344</v>
      </c>
    </row>
    <row r="55" spans="11:14" ht="15">
      <c r="K55" s="31">
        <f>W7</f>
        <v>100</v>
      </c>
      <c r="L55" s="32">
        <f>W8</f>
        <v>10</v>
      </c>
      <c r="M55" s="32">
        <f>W21</f>
        <v>9.996995301412207</v>
      </c>
      <c r="N55" s="33">
        <f>W24</f>
        <v>0.00155480974264803</v>
      </c>
    </row>
    <row r="56" spans="11:14" ht="15">
      <c r="K56" s="31">
        <f>X7</f>
        <v>50</v>
      </c>
      <c r="L56" s="32">
        <f>X8</f>
        <v>20</v>
      </c>
      <c r="M56" s="32">
        <f>X21</f>
        <v>19.999990600004416</v>
      </c>
      <c r="N56" s="33">
        <f>X24</f>
        <v>0.0038828683556481475</v>
      </c>
    </row>
    <row r="57" spans="11:14" ht="15">
      <c r="K57" s="31">
        <f>Y7</f>
        <v>20</v>
      </c>
      <c r="L57" s="32">
        <f>Y8</f>
        <v>50</v>
      </c>
      <c r="M57" s="32">
        <f>Y21</f>
        <v>49.98497650706104</v>
      </c>
      <c r="N57" s="33">
        <f>Y24</f>
        <v>0.004480699350187326</v>
      </c>
    </row>
    <row r="58" spans="11:14" ht="15">
      <c r="K58" s="31">
        <f>Z7</f>
        <v>10</v>
      </c>
      <c r="L58" s="44">
        <f>Z8</f>
        <v>100</v>
      </c>
      <c r="M58" s="44">
        <f>Z21</f>
        <v>99.95995301882208</v>
      </c>
      <c r="N58" s="45">
        <f>Z24</f>
        <v>0.01658543537766378</v>
      </c>
    </row>
    <row r="59" spans="11:14" ht="15">
      <c r="K59" s="31">
        <f>AA7</f>
        <v>5</v>
      </c>
      <c r="L59" s="44">
        <f>AA8</f>
        <v>200</v>
      </c>
      <c r="M59" s="44">
        <f>AA21</f>
        <v>199.99990600004418</v>
      </c>
      <c r="N59" s="45">
        <f>AA24</f>
        <v>0.03882868355567308</v>
      </c>
    </row>
  </sheetData>
  <sheetProtection password="8DA5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Ralbovsky</dc:creator>
  <cp:keywords/>
  <dc:description/>
  <cp:lastModifiedBy>Ralbovsky</cp:lastModifiedBy>
  <cp:lastPrinted>2010-11-03T07:48:45Z</cp:lastPrinted>
  <dcterms:created xsi:type="dcterms:W3CDTF">2010-01-22T13:24:15Z</dcterms:created>
  <dcterms:modified xsi:type="dcterms:W3CDTF">2012-11-08T15:03:52Z</dcterms:modified>
  <cp:category/>
  <cp:version/>
  <cp:contentType/>
  <cp:contentStatus/>
</cp:coreProperties>
</file>